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F:\Spartax\Vruchtgebruik\"/>
    </mc:Choice>
  </mc:AlternateContent>
  <bookViews>
    <workbookView xWindow="0" yWindow="0" windowWidth="25200" windowHeight="11760" xr2:uid="{00000000-000D-0000-FFFF-FFFF00000000}"/>
  </bookViews>
  <sheets>
    <sheet name="Matrix" sheetId="1" r:id="rId1"/>
    <sheet name="TO DO " sheetId="2" r:id="rId2"/>
  </sheets>
  <definedNames>
    <definedName name="_xlnm.Print_Area" localSheetId="0">Matrix!$A$1:$E$755,Matrix!$F$444:$X$642</definedName>
  </definedNames>
  <calcPr calcId="171026"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4" i="1" l="1"/>
  <c r="C329" i="1" l="1"/>
  <c r="B292" i="1"/>
  <c r="C292" i="1" s="1"/>
  <c r="C290" i="1" s="1"/>
  <c r="B295" i="1"/>
  <c r="B296" i="1"/>
  <c r="B297" i="1"/>
  <c r="B294" i="1"/>
  <c r="B350" i="1" l="1"/>
  <c r="B349" i="1"/>
  <c r="B348" i="1"/>
  <c r="B347" i="1"/>
  <c r="B346" i="1"/>
  <c r="B345" i="1"/>
  <c r="B343" i="1"/>
  <c r="C317" i="1"/>
  <c r="B303" i="1"/>
  <c r="C310" i="1"/>
  <c r="C319" i="1"/>
  <c r="C318" i="1"/>
  <c r="C314" i="1"/>
  <c r="C313" i="1"/>
  <c r="C312" i="1"/>
  <c r="C311" i="1"/>
  <c r="B310" i="1"/>
  <c r="B149" i="1"/>
  <c r="C306" i="1"/>
  <c r="B306" i="1"/>
  <c r="B307" i="1"/>
  <c r="B308" i="1"/>
  <c r="B305" i="1"/>
  <c r="C284" i="1"/>
  <c r="D317" i="1" l="1"/>
  <c r="D314" i="1" s="1"/>
  <c r="D313" i="1" l="1"/>
  <c r="D312" i="1"/>
  <c r="D310" i="1" s="1"/>
  <c r="D305" i="1" s="1"/>
  <c r="E305" i="1" s="1"/>
  <c r="D308" i="1" l="1"/>
  <c r="E308" i="1" s="1"/>
  <c r="D306" i="1"/>
  <c r="E306" i="1" s="1"/>
  <c r="C303" i="1" s="1"/>
  <c r="C301" i="1" s="1"/>
  <c r="D307" i="1"/>
  <c r="E307" i="1" s="1"/>
  <c r="C321" i="1"/>
  <c r="D607" i="1" l="1"/>
  <c r="F607" i="1"/>
  <c r="H607" i="1"/>
  <c r="J607" i="1"/>
  <c r="L607" i="1"/>
  <c r="N607" i="1"/>
  <c r="P607" i="1"/>
  <c r="R607" i="1"/>
  <c r="T607" i="1"/>
  <c r="V607" i="1"/>
  <c r="X607" i="1"/>
  <c r="C619" i="1" l="1"/>
  <c r="C650" i="1"/>
  <c r="C651" i="1"/>
  <c r="C652" i="1"/>
  <c r="C653" i="1"/>
  <c r="C649" i="1"/>
  <c r="B649" i="1"/>
  <c r="C643" i="1"/>
  <c r="C644" i="1"/>
  <c r="C646" i="1"/>
  <c r="B643" i="1"/>
  <c r="C95" i="1"/>
  <c r="C645" i="1" s="1"/>
  <c r="C638" i="1"/>
  <c r="C639" i="1"/>
  <c r="C640" i="1"/>
  <c r="C637" i="1"/>
  <c r="B637" i="1"/>
  <c r="C628" i="1"/>
  <c r="C629" i="1"/>
  <c r="C630" i="1"/>
  <c r="C631" i="1"/>
  <c r="C632" i="1"/>
  <c r="C633" i="1"/>
  <c r="C634" i="1"/>
  <c r="C627" i="1"/>
  <c r="C626" i="1"/>
  <c r="B626" i="1"/>
  <c r="C623" i="1"/>
  <c r="C622" i="1"/>
  <c r="C621" i="1"/>
  <c r="C620" i="1"/>
  <c r="C435" i="1"/>
  <c r="C436" i="1" s="1"/>
  <c r="C433" i="1"/>
  <c r="B433" i="1"/>
  <c r="B68" i="1"/>
  <c r="N643" i="1" l="1"/>
  <c r="D643" i="1"/>
  <c r="F643" i="1"/>
  <c r="J626" i="1"/>
  <c r="V637" i="1"/>
  <c r="V626" i="1"/>
  <c r="X637" i="1"/>
  <c r="H637" i="1"/>
  <c r="P637" i="1"/>
  <c r="X649" i="1"/>
  <c r="R626" i="1"/>
  <c r="X643" i="1"/>
  <c r="D626" i="1"/>
  <c r="L626" i="1"/>
  <c r="T626" i="1"/>
  <c r="J649" i="1"/>
  <c r="R649" i="1"/>
  <c r="F626" i="1"/>
  <c r="N626" i="1"/>
  <c r="J637" i="1"/>
  <c r="R637" i="1"/>
  <c r="R643" i="1"/>
  <c r="D649" i="1"/>
  <c r="L649" i="1"/>
  <c r="T649" i="1"/>
  <c r="H626" i="1"/>
  <c r="P626" i="1"/>
  <c r="X626" i="1"/>
  <c r="L637" i="1"/>
  <c r="T637" i="1"/>
  <c r="F649" i="1"/>
  <c r="N649" i="1"/>
  <c r="V649" i="1"/>
  <c r="X618" i="1"/>
  <c r="D637" i="1"/>
  <c r="F637" i="1"/>
  <c r="N637" i="1"/>
  <c r="H649" i="1"/>
  <c r="P649" i="1"/>
  <c r="J643" i="1"/>
  <c r="T643" i="1"/>
  <c r="L643" i="1"/>
  <c r="V643" i="1"/>
  <c r="H643" i="1"/>
  <c r="P643" i="1"/>
  <c r="P618" i="1"/>
  <c r="R618" i="1"/>
  <c r="J618" i="1"/>
  <c r="H618" i="1"/>
  <c r="D618" i="1"/>
  <c r="L618" i="1"/>
  <c r="T618" i="1"/>
  <c r="F618" i="1"/>
  <c r="N618" i="1"/>
  <c r="V618" i="1"/>
  <c r="C437" i="1"/>
  <c r="C440" i="1" s="1"/>
  <c r="C282" i="1"/>
  <c r="J656" i="1" l="1"/>
  <c r="J658" i="1" s="1"/>
  <c r="J661" i="1" s="1"/>
  <c r="J585" i="1" s="1"/>
  <c r="T656" i="1"/>
  <c r="T658" i="1" s="1"/>
  <c r="V656" i="1"/>
  <c r="V658" i="1" s="1"/>
  <c r="R656" i="1"/>
  <c r="R658" i="1" s="1"/>
  <c r="R661" i="1" s="1"/>
  <c r="R585" i="1" s="1"/>
  <c r="D656" i="1"/>
  <c r="D658" i="1" s="1"/>
  <c r="P656" i="1"/>
  <c r="P658" i="1" s="1"/>
  <c r="L656" i="1"/>
  <c r="L658" i="1" s="1"/>
  <c r="L661" i="1" s="1"/>
  <c r="L585" i="1" s="1"/>
  <c r="N656" i="1"/>
  <c r="N658" i="1" s="1"/>
  <c r="X656" i="1"/>
  <c r="X658" i="1" s="1"/>
  <c r="X661" i="1" s="1"/>
  <c r="X585" i="1" s="1"/>
  <c r="F656" i="1"/>
  <c r="F658" i="1" s="1"/>
  <c r="H656" i="1"/>
  <c r="H658" i="1" s="1"/>
  <c r="C431" i="1"/>
  <c r="B414" i="1"/>
  <c r="B391" i="1"/>
  <c r="B392" i="1"/>
  <c r="B393" i="1"/>
  <c r="B394" i="1"/>
  <c r="B390" i="1"/>
  <c r="D660" i="1" l="1"/>
  <c r="D661" i="1" s="1"/>
  <c r="B388" i="1"/>
  <c r="C388" i="1" s="1"/>
  <c r="D585" i="1" l="1"/>
  <c r="F660" i="1"/>
  <c r="H660" i="1" s="1"/>
  <c r="J660" i="1" s="1"/>
  <c r="L660" i="1" s="1"/>
  <c r="N660" i="1" s="1"/>
  <c r="P660" i="1" s="1"/>
  <c r="R660" i="1" s="1"/>
  <c r="T660" i="1" s="1"/>
  <c r="E422" i="1"/>
  <c r="E423" i="1"/>
  <c r="E421" i="1"/>
  <c r="E420" i="1"/>
  <c r="E419" i="1"/>
  <c r="C417" i="1"/>
  <c r="C418" i="1" s="1"/>
  <c r="D414" i="1"/>
  <c r="B424" i="1"/>
  <c r="B417" i="1"/>
  <c r="B418" i="1"/>
  <c r="B419" i="1"/>
  <c r="B420" i="1"/>
  <c r="B421" i="1"/>
  <c r="B422" i="1"/>
  <c r="B423" i="1"/>
  <c r="B416" i="1"/>
  <c r="B407" i="1"/>
  <c r="B406" i="1"/>
  <c r="B405" i="1"/>
  <c r="B404" i="1"/>
  <c r="B403" i="1"/>
  <c r="B402" i="1"/>
  <c r="B400" i="1"/>
  <c r="P661" i="1" l="1"/>
  <c r="P585" i="1" s="1"/>
  <c r="H661" i="1"/>
  <c r="H585" i="1" s="1"/>
  <c r="F661" i="1"/>
  <c r="N661" i="1"/>
  <c r="N585" i="1" s="1"/>
  <c r="V660" i="1"/>
  <c r="T661" i="1"/>
  <c r="T585" i="1" s="1"/>
  <c r="C424" i="1"/>
  <c r="D402" i="1"/>
  <c r="D400" i="1"/>
  <c r="B378" i="1"/>
  <c r="B379" i="1"/>
  <c r="B380" i="1"/>
  <c r="B381" i="1"/>
  <c r="B382" i="1"/>
  <c r="B383" i="1"/>
  <c r="B377" i="1"/>
  <c r="B375" i="1"/>
  <c r="B358" i="1"/>
  <c r="B368" i="1" s="1"/>
  <c r="B359" i="1"/>
  <c r="B369" i="1" s="1"/>
  <c r="B360" i="1"/>
  <c r="B370" i="1" s="1"/>
  <c r="B357" i="1"/>
  <c r="B367" i="1" s="1"/>
  <c r="B355" i="1"/>
  <c r="F585" i="1" l="1"/>
  <c r="X660" i="1"/>
  <c r="V661" i="1"/>
  <c r="V585" i="1" s="1"/>
  <c r="C375" i="1"/>
  <c r="C373" i="1" s="1"/>
  <c r="B365" i="1"/>
  <c r="C365" i="1" s="1"/>
  <c r="C363" i="1" s="1"/>
  <c r="C355" i="1"/>
  <c r="C353" i="1" s="1"/>
  <c r="C402" i="1"/>
  <c r="D403" i="1"/>
  <c r="C386" i="1"/>
  <c r="D562" i="1" l="1"/>
  <c r="D568" i="1"/>
  <c r="D550" i="1"/>
  <c r="D556" i="1"/>
  <c r="D554" i="1"/>
  <c r="D558" i="1"/>
  <c r="D580" i="1"/>
  <c r="D579" i="1" s="1"/>
  <c r="D573" i="1"/>
  <c r="D560" i="1"/>
  <c r="D552" i="1"/>
  <c r="D575" i="1"/>
  <c r="D577" i="1"/>
  <c r="D566" i="1"/>
  <c r="D570" i="1"/>
  <c r="D564" i="1"/>
  <c r="C467" i="1"/>
  <c r="N580" i="1"/>
  <c r="N579" i="1" s="1"/>
  <c r="P573" i="1"/>
  <c r="X562" i="1"/>
  <c r="P575" i="1"/>
  <c r="F573" i="1"/>
  <c r="R568" i="1"/>
  <c r="F566" i="1"/>
  <c r="N562" i="1"/>
  <c r="V558" i="1"/>
  <c r="J556" i="1"/>
  <c r="X558" i="1"/>
  <c r="L575" i="1"/>
  <c r="H568" i="1"/>
  <c r="F564" i="1"/>
  <c r="X554" i="1"/>
  <c r="H552" i="1"/>
  <c r="X566" i="1"/>
  <c r="T560" i="1"/>
  <c r="T552" i="1"/>
  <c r="J580" i="1"/>
  <c r="J579" i="1" s="1"/>
  <c r="L573" i="1"/>
  <c r="F568" i="1"/>
  <c r="T558" i="1"/>
  <c r="V554" i="1"/>
  <c r="F552" i="1"/>
  <c r="N577" i="1"/>
  <c r="L566" i="1"/>
  <c r="H558" i="1"/>
  <c r="R550" i="1"/>
  <c r="R571" i="1" s="1"/>
  <c r="T564" i="1"/>
  <c r="H550" i="1"/>
  <c r="P554" i="1"/>
  <c r="X577" i="1"/>
  <c r="F560" i="1"/>
  <c r="R562" i="1"/>
  <c r="F554" i="1"/>
  <c r="J560" i="1"/>
  <c r="F577" i="1"/>
  <c r="N560" i="1"/>
  <c r="F550" i="1"/>
  <c r="T554" i="1"/>
  <c r="P568" i="1"/>
  <c r="H556" i="1"/>
  <c r="N568" i="1"/>
  <c r="V568" i="1"/>
  <c r="P558" i="1"/>
  <c r="H564" i="1"/>
  <c r="X564" i="1"/>
  <c r="F580" i="1"/>
  <c r="F579" i="1" s="1"/>
  <c r="R575" i="1"/>
  <c r="H573" i="1"/>
  <c r="X580" i="1"/>
  <c r="X579" i="1" s="1"/>
  <c r="R577" i="1"/>
  <c r="H575" i="1"/>
  <c r="V570" i="1"/>
  <c r="J568" i="1"/>
  <c r="R564" i="1"/>
  <c r="F562" i="1"/>
  <c r="N558" i="1"/>
  <c r="X552" i="1"/>
  <c r="P580" i="1"/>
  <c r="P579" i="1" s="1"/>
  <c r="R573" i="1"/>
  <c r="R566" i="1"/>
  <c r="P562" i="1"/>
  <c r="L558" i="1"/>
  <c r="N554" i="1"/>
  <c r="V550" i="1"/>
  <c r="V571" i="1" s="1"/>
  <c r="H580" i="1"/>
  <c r="H579" i="1" s="1"/>
  <c r="R558" i="1"/>
  <c r="P577" i="1"/>
  <c r="T570" i="1"/>
  <c r="P566" i="1"/>
  <c r="L562" i="1"/>
  <c r="J558" i="1"/>
  <c r="L554" i="1"/>
  <c r="T550" i="1"/>
  <c r="T571" i="1" s="1"/>
  <c r="L564" i="1"/>
  <c r="F556" i="1"/>
  <c r="R580" i="1"/>
  <c r="R579" i="1" s="1"/>
  <c r="P560" i="1"/>
  <c r="H577" i="1"/>
  <c r="J566" i="1"/>
  <c r="X550" i="1"/>
  <c r="X571" i="1" s="1"/>
  <c r="N575" i="1"/>
  <c r="L577" i="1"/>
  <c r="X570" i="1"/>
  <c r="X575" i="1"/>
  <c r="F570" i="1"/>
  <c r="V562" i="1"/>
  <c r="R556" i="1"/>
  <c r="T568" i="1"/>
  <c r="P564" i="1"/>
  <c r="P552" i="1"/>
  <c r="T562" i="1"/>
  <c r="X568" i="1"/>
  <c r="N564" i="1"/>
  <c r="N552" i="1"/>
  <c r="H560" i="1"/>
  <c r="L552" i="1"/>
  <c r="R552" i="1"/>
  <c r="P550" i="1"/>
  <c r="X560" i="1"/>
  <c r="H562" i="1"/>
  <c r="X556" i="1"/>
  <c r="T577" i="1"/>
  <c r="J575" i="1"/>
  <c r="P570" i="1"/>
  <c r="T580" i="1"/>
  <c r="T579" i="1" s="1"/>
  <c r="J577" i="1"/>
  <c r="V573" i="1"/>
  <c r="N570" i="1"/>
  <c r="V566" i="1"/>
  <c r="J564" i="1"/>
  <c r="R560" i="1"/>
  <c r="F558" i="1"/>
  <c r="R554" i="1"/>
  <c r="V577" i="1"/>
  <c r="J570" i="1"/>
  <c r="H566" i="1"/>
  <c r="V556" i="1"/>
  <c r="N550" i="1"/>
  <c r="T575" i="1"/>
  <c r="V564" i="1"/>
  <c r="P556" i="1"/>
  <c r="J550" i="1"/>
  <c r="V575" i="1"/>
  <c r="H570" i="1"/>
  <c r="V560" i="1"/>
  <c r="T556" i="1"/>
  <c r="V552" i="1"/>
  <c r="L550" i="1"/>
  <c r="R570" i="1"/>
  <c r="J562" i="1"/>
  <c r="H554" i="1"/>
  <c r="T573" i="1"/>
  <c r="N556" i="1"/>
  <c r="T566" i="1"/>
  <c r="L568" i="1"/>
  <c r="J552" i="1"/>
  <c r="L570" i="1"/>
  <c r="V580" i="1"/>
  <c r="V579" i="1" s="1"/>
  <c r="X573" i="1"/>
  <c r="L580" i="1"/>
  <c r="L579" i="1" s="1"/>
  <c r="N573" i="1"/>
  <c r="N566" i="1"/>
  <c r="J554" i="1"/>
  <c r="L556" i="1"/>
  <c r="J573" i="1"/>
  <c r="F575" i="1"/>
  <c r="L560" i="1"/>
  <c r="C343" i="1"/>
  <c r="C341" i="1" s="1"/>
  <c r="D404" i="1"/>
  <c r="C403" i="1"/>
  <c r="C337" i="1"/>
  <c r="C339" i="1"/>
  <c r="C335" i="1"/>
  <c r="C333" i="1"/>
  <c r="C331" i="1"/>
  <c r="C280" i="1"/>
  <c r="C278" i="1"/>
  <c r="C276" i="1"/>
  <c r="C274" i="1"/>
  <c r="C272" i="1"/>
  <c r="C270" i="1"/>
  <c r="C268" i="1"/>
  <c r="C266" i="1"/>
  <c r="C264" i="1"/>
  <c r="D571" i="1" l="1"/>
  <c r="L571" i="1"/>
  <c r="H571" i="1"/>
  <c r="J571" i="1"/>
  <c r="N571" i="1"/>
  <c r="P571" i="1"/>
  <c r="F571" i="1"/>
  <c r="X526" i="1"/>
  <c r="X489" i="1"/>
  <c r="X481" i="1"/>
  <c r="X473" i="1"/>
  <c r="V526" i="1"/>
  <c r="V489" i="1"/>
  <c r="V481" i="1"/>
  <c r="V473" i="1"/>
  <c r="T526" i="1"/>
  <c r="T489" i="1"/>
  <c r="T481" i="1"/>
  <c r="T473" i="1"/>
  <c r="R526" i="1"/>
  <c r="R489" i="1"/>
  <c r="R481" i="1"/>
  <c r="R473" i="1"/>
  <c r="P526" i="1"/>
  <c r="P489" i="1"/>
  <c r="P481" i="1"/>
  <c r="P473" i="1"/>
  <c r="N526" i="1"/>
  <c r="N489" i="1"/>
  <c r="N481" i="1"/>
  <c r="N473" i="1"/>
  <c r="L526" i="1"/>
  <c r="L489" i="1"/>
  <c r="L481" i="1"/>
  <c r="L473" i="1"/>
  <c r="J526" i="1"/>
  <c r="J489" i="1"/>
  <c r="J481" i="1"/>
  <c r="J473" i="1"/>
  <c r="H526" i="1"/>
  <c r="H489" i="1"/>
  <c r="H481" i="1"/>
  <c r="H473" i="1"/>
  <c r="F526" i="1"/>
  <c r="F489" i="1"/>
  <c r="F481" i="1"/>
  <c r="F473" i="1"/>
  <c r="D526" i="1"/>
  <c r="D489" i="1"/>
  <c r="D481" i="1"/>
  <c r="D473" i="1"/>
  <c r="X524" i="1"/>
  <c r="X487" i="1"/>
  <c r="X479" i="1"/>
  <c r="X471" i="1"/>
  <c r="V524" i="1"/>
  <c r="V487" i="1"/>
  <c r="V479" i="1"/>
  <c r="V471" i="1"/>
  <c r="T524" i="1"/>
  <c r="T487" i="1"/>
  <c r="T479" i="1"/>
  <c r="T471" i="1"/>
  <c r="R524" i="1"/>
  <c r="R487" i="1"/>
  <c r="R479" i="1"/>
  <c r="R471" i="1"/>
  <c r="P524" i="1"/>
  <c r="P487" i="1"/>
  <c r="P479" i="1"/>
  <c r="P471" i="1"/>
  <c r="N524" i="1"/>
  <c r="N487" i="1"/>
  <c r="N479" i="1"/>
  <c r="N471" i="1"/>
  <c r="L524" i="1"/>
  <c r="L487" i="1"/>
  <c r="L479" i="1"/>
  <c r="L471" i="1"/>
  <c r="J524" i="1"/>
  <c r="J487" i="1"/>
  <c r="J479" i="1"/>
  <c r="J471" i="1"/>
  <c r="H524" i="1"/>
  <c r="H487" i="1"/>
  <c r="H479" i="1"/>
  <c r="H471" i="1"/>
  <c r="F524" i="1"/>
  <c r="F487" i="1"/>
  <c r="F479" i="1"/>
  <c r="F471" i="1"/>
  <c r="D524" i="1"/>
  <c r="D487" i="1"/>
  <c r="D479" i="1"/>
  <c r="D471" i="1"/>
  <c r="X542" i="1"/>
  <c r="X483" i="1"/>
  <c r="V542" i="1"/>
  <c r="V483" i="1"/>
  <c r="T542" i="1"/>
  <c r="T483" i="1"/>
  <c r="R542" i="1"/>
  <c r="R483" i="1"/>
  <c r="P542" i="1"/>
  <c r="P483" i="1"/>
  <c r="N542" i="1"/>
  <c r="N483" i="1"/>
  <c r="L542" i="1"/>
  <c r="L483" i="1"/>
  <c r="J542" i="1"/>
  <c r="J483" i="1"/>
  <c r="H542" i="1"/>
  <c r="H483" i="1"/>
  <c r="F542" i="1"/>
  <c r="F483" i="1"/>
  <c r="D542" i="1"/>
  <c r="D483" i="1"/>
  <c r="X475" i="1"/>
  <c r="V491" i="1"/>
  <c r="T491" i="1"/>
  <c r="R491" i="1"/>
  <c r="P491" i="1"/>
  <c r="N491" i="1"/>
  <c r="L491" i="1"/>
  <c r="J491" i="1"/>
  <c r="H491" i="1"/>
  <c r="F491" i="1"/>
  <c r="D491" i="1"/>
  <c r="X522" i="1"/>
  <c r="X477" i="1"/>
  <c r="V522" i="1"/>
  <c r="V477" i="1"/>
  <c r="T522" i="1"/>
  <c r="T477" i="1"/>
  <c r="R522" i="1"/>
  <c r="R477" i="1"/>
  <c r="P522" i="1"/>
  <c r="P477" i="1"/>
  <c r="N522" i="1"/>
  <c r="N477" i="1"/>
  <c r="L522" i="1"/>
  <c r="L477" i="1"/>
  <c r="J522" i="1"/>
  <c r="J477" i="1"/>
  <c r="H522" i="1"/>
  <c r="H477" i="1"/>
  <c r="F522" i="1"/>
  <c r="F477" i="1"/>
  <c r="D522" i="1"/>
  <c r="D477" i="1"/>
  <c r="X491" i="1"/>
  <c r="V475" i="1"/>
  <c r="T475" i="1"/>
  <c r="R475" i="1"/>
  <c r="P475" i="1"/>
  <c r="N475" i="1"/>
  <c r="L475" i="1"/>
  <c r="J475" i="1"/>
  <c r="H475" i="1"/>
  <c r="F475" i="1"/>
  <c r="D475" i="1"/>
  <c r="X485" i="1"/>
  <c r="T485" i="1"/>
  <c r="P485" i="1"/>
  <c r="L485" i="1"/>
  <c r="H485" i="1"/>
  <c r="D485" i="1"/>
  <c r="R485" i="1"/>
  <c r="N485" i="1"/>
  <c r="F485" i="1"/>
  <c r="X469" i="1"/>
  <c r="T469" i="1"/>
  <c r="P469" i="1"/>
  <c r="L469" i="1"/>
  <c r="H469" i="1"/>
  <c r="D469" i="1"/>
  <c r="V485" i="1"/>
  <c r="J485" i="1"/>
  <c r="V469" i="1"/>
  <c r="R469" i="1"/>
  <c r="N469" i="1"/>
  <c r="J469" i="1"/>
  <c r="F469" i="1"/>
  <c r="D405" i="1"/>
  <c r="C404" i="1"/>
  <c r="C400" i="1" s="1"/>
  <c r="C398" i="1" s="1"/>
  <c r="D406" i="1" l="1"/>
  <c r="C405" i="1"/>
  <c r="D407" i="1" l="1"/>
  <c r="C406" i="1"/>
  <c r="D416" i="1" l="1"/>
  <c r="D417" i="1" s="1"/>
  <c r="D418" i="1" s="1"/>
  <c r="D419" i="1" s="1"/>
  <c r="D420" i="1" l="1"/>
  <c r="D421" i="1" s="1"/>
  <c r="C419" i="1"/>
  <c r="C420" i="1" l="1"/>
  <c r="D422" i="1"/>
  <c r="C421" i="1"/>
  <c r="C414" i="1" s="1"/>
  <c r="C412" i="1" s="1"/>
  <c r="D423" i="1" l="1"/>
  <c r="C422" i="1"/>
  <c r="D424" i="1" l="1"/>
  <c r="C423" i="1"/>
</calcChain>
</file>

<file path=xl/sharedStrings.xml><?xml version="1.0" encoding="utf-8"?>
<sst xmlns="http://schemas.openxmlformats.org/spreadsheetml/2006/main" count="473" uniqueCount="305">
  <si>
    <t>DE WERKWIJZE IN 5 STAPPEN</t>
  </si>
  <si>
    <t>Stap 1: vul de onderstaande vragenlijst in (zie "vragenlijst")</t>
  </si>
  <si>
    <t xml:space="preserve">Stap 2: schrijf de premissen (zie "premissen") over in uw Spartax-berekening (www.spartax.eu) </t>
  </si>
  <si>
    <t>Stap 3: druk op de knop "bereken" in uw Spartax-module / hiermee krijgt u een eerste proefberekening</t>
  </si>
  <si>
    <t>Stap 4: verfijn uw eerste proefberekening door de waarderingsmethodes in te vullen zoals voorgesteld in "selectie van de waarderingsmethodes"</t>
  </si>
  <si>
    <t>Stap 5: voor de controles uit zoals vermeld onder de rubriek "controles" en verfijn desgevallend de stappen 2 en 4</t>
  </si>
  <si>
    <t>STAP 1: VRAGENLIJST</t>
  </si>
  <si>
    <t>MAAK HIER UW KEUZE</t>
  </si>
  <si>
    <t>1.</t>
  </si>
  <si>
    <t>Waarde grond</t>
  </si>
  <si>
    <t>[bedrag invullen]</t>
  </si>
  <si>
    <t>Registratierechten of btw?</t>
  </si>
  <si>
    <t>aankoop grond onder registratierechten</t>
  </si>
  <si>
    <t>aankoop grond onder btw</t>
  </si>
  <si>
    <t>2.</t>
  </si>
  <si>
    <t>Waarde gebouw</t>
  </si>
  <si>
    <t>aankoop/oprichting gebouw onder btw</t>
  </si>
  <si>
    <t>aankoop gebouw onder registratierechten</t>
  </si>
  <si>
    <t>3.</t>
  </si>
  <si>
    <t>4.</t>
  </si>
  <si>
    <t>Btw-tarief</t>
  </si>
  <si>
    <t>Nieuwbouw</t>
  </si>
  <si>
    <t>5.</t>
  </si>
  <si>
    <t>6.</t>
  </si>
  <si>
    <t>Registratierechten</t>
  </si>
  <si>
    <t>speciaal tarief</t>
  </si>
  <si>
    <t>Vlaanderen</t>
  </si>
  <si>
    <t>Wallonië</t>
  </si>
  <si>
    <t>Brussels Hoofdstedelijk Gewest</t>
  </si>
  <si>
    <t>7.</t>
  </si>
  <si>
    <t>8.</t>
  </si>
  <si>
    <t>Btw-aftrek</t>
  </si>
  <si>
    <t xml:space="preserve">9. </t>
  </si>
  <si>
    <t>10.</t>
  </si>
  <si>
    <t>Waarom wordt voor de vormgeving vruchtgebruik-blote eigendom gekozen (belangrijkste reden)?</t>
  </si>
  <si>
    <t>te weinig eigen inbreng als vruchtgebruiker - matuur bedrijf</t>
  </si>
  <si>
    <t>afscherming van ondernemingsrisico</t>
  </si>
  <si>
    <t>verkoopbaarheid aandelen/maximalisatie prijs</t>
  </si>
  <si>
    <t>goedkoper dan huur</t>
  </si>
  <si>
    <t>te weinig inbreng als vruchtgebruiker - start-up of risicovol groeibedrijf</t>
  </si>
  <si>
    <t>familiale regeling</t>
  </si>
  <si>
    <t>combinatie</t>
  </si>
  <si>
    <t>andere</t>
  </si>
  <si>
    <t xml:space="preserve">11. </t>
  </si>
  <si>
    <t>Welke partij is financieel het sterkst?</t>
  </si>
  <si>
    <t>vruchtgebruiker financieel sterkst</t>
  </si>
  <si>
    <t>blote eigenaar financieel het sterkst</t>
  </si>
  <si>
    <t>12.</t>
  </si>
  <si>
    <t>Welke partij is het minst de vragende partij om deel te nemen aan de investering?</t>
  </si>
  <si>
    <t>vruchtgebruiker meest vragende partij</t>
  </si>
  <si>
    <t>blote eigenaar meest vragende partij</t>
  </si>
  <si>
    <t>13.</t>
  </si>
  <si>
    <t>Welke partij kan beroep doen op een bankfinanciering?</t>
  </si>
  <si>
    <t>Enkel de vruchtgebruiker kan een financiering krijgen bij de bank</t>
  </si>
  <si>
    <t>Enkel de blote eigenaar kan een financiering krijgen bij de bank</t>
  </si>
  <si>
    <t>Beide kunnen een financiering krijgen bij de bank</t>
  </si>
  <si>
    <t>Geen van beide kan een financiering krijgen bij de bank</t>
  </si>
  <si>
    <t xml:space="preserve">14. </t>
  </si>
  <si>
    <t>Welke partij financiert effectief de aankoop geheel/gedeeltelijk bij een bank?</t>
  </si>
  <si>
    <t>Enkel de blote eigenaar financiert bij de bank</t>
  </si>
  <si>
    <t>Enkel de vruchtgebruiker financiert bij de bank</t>
  </si>
  <si>
    <t>Beide financieren bij de bank</t>
  </si>
  <si>
    <t>Geen van beide financiert bij de bank</t>
  </si>
  <si>
    <t>15.</t>
  </si>
  <si>
    <t>Om welk type van onroerend goed gaat het?</t>
  </si>
  <si>
    <t>Pand met dubbel gebruik (beroep + privé - vb. praktijkwoning arts)</t>
  </si>
  <si>
    <t>Braakliggende grond</t>
  </si>
  <si>
    <t>Grond met bestaande gebouwen/constructies om af te breken</t>
  </si>
  <si>
    <t>Grond /site met bepaalde problemen (vb. bodemverontreiniging)</t>
  </si>
  <si>
    <t>Appartement</t>
  </si>
  <si>
    <t>Villa</t>
  </si>
  <si>
    <t>Kantoor - commercieel</t>
  </si>
  <si>
    <t>Fabriekspand</t>
  </si>
  <si>
    <t>Andere</t>
  </si>
  <si>
    <t>16.</t>
  </si>
  <si>
    <t>Wat is de staat van het gebouw?</t>
  </si>
  <si>
    <t>Bestaand gebouw - afbraak gepland (minstens tegen einddatum vruchtgebruik)</t>
  </si>
  <si>
    <t>Nieuwbouw (standaard)</t>
  </si>
  <si>
    <t>Nieuwbouw (met extreme duurzaamheid qua materialen en eco-technologie (e-peil, k-peil, etc.))</t>
  </si>
  <si>
    <t>17.</t>
  </si>
  <si>
    <t>Om welk soort grond gaat het (ligging en waarde)?</t>
  </si>
  <si>
    <t>Grond met speciale/exclusieve ligging (op zeedijk, in centrum, in exclusieve wijk, etc.)</t>
  </si>
  <si>
    <t>Projectgrond</t>
  </si>
  <si>
    <t>Geen bijzonderheden</t>
  </si>
  <si>
    <t>Grond met beperkingen (vb. bodemverontreiniging, beperkende stedenbouwkundige voorwaarden, etc.)</t>
  </si>
  <si>
    <t>Grond met lagere waarde (vb. landbouwwaarde, mindere ligging, etc.)</t>
  </si>
  <si>
    <t>18.</t>
  </si>
  <si>
    <t>Wat is de bestemming van het onroerend goed?</t>
  </si>
  <si>
    <t>Verhuur op jaarbasis aan derden/vreemden</t>
  </si>
  <si>
    <t>Eigen gebruik</t>
  </si>
  <si>
    <t>Verhuur per week, maand, etc. aan derden/vreemden</t>
  </si>
  <si>
    <t>Ter beschikking stelling aan verbonden partij (= verhuur aan groepsvennootschap, voordeel van alle aard zaakvoerder, etc.)</t>
  </si>
  <si>
    <t>variabele rentevoet</t>
  </si>
  <si>
    <t>19.</t>
  </si>
  <si>
    <t>Referentie-rentevoeten ingeven</t>
  </si>
  <si>
    <t>ROI (basis) vruchtgebruiker</t>
  </si>
  <si>
    <t>ROI (basis) blote eigenaar</t>
  </si>
  <si>
    <t>Risico - of illiquiditeitspremie blote eigenaar</t>
  </si>
  <si>
    <t>20.</t>
  </si>
  <si>
    <t>Kredietfinanciering</t>
  </si>
  <si>
    <t>Vruchtgebruiker</t>
  </si>
  <si>
    <t>1) bedrag</t>
  </si>
  <si>
    <t>2) looptijd</t>
  </si>
  <si>
    <t>[vul aantal jaren afbetaling in van krediet]</t>
  </si>
  <si>
    <t>3) rente</t>
  </si>
  <si>
    <t>[vul percentage op jaarbasis in]</t>
  </si>
  <si>
    <t>4) type (vaste rentevoet, lineair/degressief, variabel (herzieningsperiode, plafond herziening, etc.?))</t>
  </si>
  <si>
    <t>4.1. vaste rentevoet of variabele rentevoet</t>
  </si>
  <si>
    <t>vaste rentevoet</t>
  </si>
  <si>
    <t>4.2. lineaire (= vast bedrag per periode) of degressieve (= vast kapitaal per periode) betaling</t>
  </si>
  <si>
    <t>lineair</t>
  </si>
  <si>
    <t>4.3. indien variabel: welke herzieningsperiode?</t>
  </si>
  <si>
    <t>variabel: herzienbaar om de 2 jaar</t>
  </si>
  <si>
    <t>geen herziening want vaste rentevoet</t>
  </si>
  <si>
    <t>variabel: herzienbaar 10-5-5</t>
  </si>
  <si>
    <t>variabel: herzienbaar om de 5 jaar</t>
  </si>
  <si>
    <t>variabel: jaarlijks herzienbaar</t>
  </si>
  <si>
    <t>4.4. indien variabel: plafond in herziening?</t>
  </si>
  <si>
    <t>variabel: maximum 1% stijging per herziening</t>
  </si>
  <si>
    <t>variabel: geen plafond</t>
  </si>
  <si>
    <t>variabel: maximum totaal percentage na alle herzieningen</t>
  </si>
  <si>
    <t>Blote eigenaar</t>
  </si>
  <si>
    <t>21.</t>
  </si>
  <si>
    <t>Secundaire economische waarderingsvariabelen</t>
  </si>
  <si>
    <t>Kostenforfait</t>
  </si>
  <si>
    <t>Leegstandsrisico</t>
  </si>
  <si>
    <t>Gebruikerspremie</t>
  </si>
  <si>
    <t>Aantal bouwjaren</t>
  </si>
  <si>
    <t>bouw - of andere grond: nog geen bouwplannen</t>
  </si>
  <si>
    <t>Waardestijging/daling grond</t>
  </si>
  <si>
    <t>Waarde gebouw na einde vruchtgebruik</t>
  </si>
  <si>
    <t>Kans dat verkocht wordt tijdens duur vruchtgebruik</t>
  </si>
  <si>
    <t>Verkoopkans jaar 1</t>
  </si>
  <si>
    <t>Wie neemt de kosten van grove herstellingen voor zijn rekening (vb. nieuw dak, nieuwe centrale verwarming, etc.)</t>
  </si>
  <si>
    <t>blote eigenaar (100%)</t>
  </si>
  <si>
    <t>vruchtgebruiker (100%)</t>
  </si>
  <si>
    <t>vruchtgebruiker en blote eigenaar samen, in functie van hun eigen voordeel bij de herstelling</t>
  </si>
  <si>
    <t>Tijdstip van het groot onderhoud</t>
  </si>
  <si>
    <t>Indexatievoet</t>
  </si>
  <si>
    <t>STAP 2: "PREMISSEN" - SCHRIJF DEZE PREMISSEN OVER IN UW SPARTAX-BEREKENING (WWW.SPARTAX.EU)</t>
  </si>
  <si>
    <t xml:space="preserve">1. </t>
  </si>
  <si>
    <t>Prijs grond</t>
  </si>
  <si>
    <t>Onder registratierechten</t>
  </si>
  <si>
    <t>Onder btw</t>
  </si>
  <si>
    <t>Prijs gebouw</t>
  </si>
  <si>
    <t>Investering verbouwing</t>
  </si>
  <si>
    <t>Btw-tarief grond/gebouw/verbouwingen</t>
  </si>
  <si>
    <t>Huurwaarde (opgelet: op jaarbasis)</t>
  </si>
  <si>
    <t>9.</t>
  </si>
  <si>
    <t>Btw-aftrek vruchtgebruiker</t>
  </si>
  <si>
    <t>11.</t>
  </si>
  <si>
    <t>Duurtijd vruchtgebruik/Aantal jaar </t>
  </si>
  <si>
    <t>Referentierentevoet/gewenst ROI vruchtgebruiker</t>
  </si>
  <si>
    <t>14.</t>
  </si>
  <si>
    <t>Referentierentevoet/gewenst ROI blote eigenaar</t>
  </si>
  <si>
    <t>Risico - en illiquiditeitspremie voor de blote eigenaar</t>
  </si>
  <si>
    <t>Kredietbedrag Vruchtgebruiker</t>
  </si>
  <si>
    <t>Rentevoet krediet Vruchtgebruiker (op jaarbasis)</t>
  </si>
  <si>
    <t>Aantal jaren afbetaling</t>
  </si>
  <si>
    <t>Kredietbedrag Blote eigenaar</t>
  </si>
  <si>
    <t>Rentevoet krediet Blote eigenaar (op jaarbasis)</t>
  </si>
  <si>
    <t>22.</t>
  </si>
  <si>
    <t>23.</t>
  </si>
  <si>
    <t>24.</t>
  </si>
  <si>
    <t>Gebruikspremie</t>
  </si>
  <si>
    <t>25.</t>
  </si>
  <si>
    <t>26.</t>
  </si>
  <si>
    <t>27.</t>
  </si>
  <si>
    <t>28.</t>
  </si>
  <si>
    <t>Kans dat zal verkocht worden tijdens duur vruchtgebruik</t>
  </si>
  <si>
    <t>29.</t>
  </si>
  <si>
    <t>30.</t>
  </si>
  <si>
    <t>Kosten groot onderhoud</t>
  </si>
  <si>
    <t>31.</t>
  </si>
  <si>
    <t>Tijdstip van het grote onderhoud</t>
  </si>
  <si>
    <t>32.</t>
  </si>
  <si>
    <t>Noot 1: methodes die hieronder niet geselecteerd worden, geeft u gewicht 0 (BELANGRIJK: zo tellen deze methodes niet mee)</t>
  </si>
  <si>
    <t>Noot 2: indien een bepaald gewicht wordt gegeven aan een methode (vb. 1, 2, etc.), dan moet dit ook op dezelfde manier worden toegepast in de Spartax-berekening</t>
  </si>
  <si>
    <t>STAP 5: "CONTROLES" - VOER DE ONDERSTAANDE TESTS UIT OP UW VOORLOPIG RESULTAAT EN PAS STAP 2 EN/OF 4 AAN INDIEN NODIG</t>
  </si>
  <si>
    <t>geen nieuwbouw / bestaande woning zonder renovatie</t>
  </si>
  <si>
    <t>nieuwbouw/renovatie: binnen 1 jaar na de aankoop van de site zal deze in gebruik kunnen genomen worden</t>
  </si>
  <si>
    <t>nieuwbouw/renovatie: binnen 2 jaar na de aankoop van de site zal deze in gebruik kunnen genomen worden</t>
  </si>
  <si>
    <t>nieuwbouw/renovatie: binnen 3 jaar na de aankoop van de site zal deze in gebruik kunnen genomen worden</t>
  </si>
  <si>
    <t>nieuwbouw/renovatie: binnen 4 jaar na de aankoop van de site zal deze in gebruik kunnen genomen worden</t>
  </si>
  <si>
    <t>nieuwbouw/renovatie: binnen 5 jaar na de aankoop van de site zal deze in gebruik kunnen genomen worden</t>
  </si>
  <si>
    <t>per jaar</t>
  </si>
  <si>
    <t>Bestaand gebouw - structurele renovatie vereist (op later tijdstip)</t>
  </si>
  <si>
    <t>Bestaand gebouw (ca. + 20 jaar) - aan renovatie toe (op later tijdstip)</t>
  </si>
  <si>
    <t>Bestaand gebouw (ca. + 20 jaar) - goed onderhouden of renovatie na aanvang vruchtgebruik</t>
  </si>
  <si>
    <t>ad hoc beoordeling (contact met helpdesk mogelijk)</t>
  </si>
  <si>
    <r>
      <t xml:space="preserve">Bij vragen: contacteer de helpdesk op 0488/79.83.03 of via </t>
    </r>
    <r>
      <rPr>
        <u/>
        <sz val="11"/>
        <color theme="4" tint="-0.249977111117893"/>
        <rFont val="Calibri"/>
        <family val="2"/>
        <scheme val="minor"/>
      </rPr>
      <t>info@spartax.eu</t>
    </r>
    <r>
      <rPr>
        <sz val="11"/>
        <color theme="1"/>
        <rFont val="Calibri"/>
        <family val="2"/>
        <scheme val="minor"/>
      </rPr>
      <t xml:space="preserve"> </t>
    </r>
  </si>
  <si>
    <t>Investering verbouwing (= investering gehele of gedeeltelijke renovatie (excl. aankoop), realisatie van een bijgebouw, etc. - EXCL. btw!)</t>
  </si>
  <si>
    <t>Huurwaarde (op JAARBASIS - zonder aftrek verhuurkosten)</t>
  </si>
  <si>
    <t>Ereloon notaris (andere notariskosten worden vanzelf ingevuld)</t>
  </si>
  <si>
    <t>[vul bedrag in (desnoods bij te sturen na eerste proefdraai van de berekening)]</t>
  </si>
  <si>
    <t>degressief (noot: voorlopig niet voorzien in Spartax)</t>
  </si>
  <si>
    <t>NIET ANTWOORDEN - WORDT AUTOMATISCH INGEVULD OP BASIS VAN ANDERE ANTWOORDEN</t>
  </si>
  <si>
    <t>btw-plichtige met volledig recht op aftrek</t>
  </si>
  <si>
    <t>btw-plichtige met gedeeltelijk recht op aftrek</t>
  </si>
  <si>
    <t>btw-plichtige zonder recht op aftrek</t>
  </si>
  <si>
    <t>geen btw-plichtige</t>
  </si>
  <si>
    <t>Wat is het risicoprofiel van de gebruiker/bestemmeling van de waarderingsmodule?</t>
  </si>
  <si>
    <t>neutraal</t>
  </si>
  <si>
    <t>defensief</t>
  </si>
  <si>
    <t>dynamisch</t>
  </si>
  <si>
    <t>high profile</t>
  </si>
  <si>
    <t>4% (voorlopig - mogelijk te wijzigen op instructie in stap 4)</t>
  </si>
  <si>
    <t xml:space="preserve">Diverse aktekosten </t>
  </si>
  <si>
    <t xml:space="preserve">Kosten overschrijving </t>
  </si>
  <si>
    <t>VOORBEELDWEERGAVE: GA OP DE GELE VELDEN STAAN EN DUID UW KEUZE AAN/VUL IN (VOLGENS INSTRUCTIE)</t>
  </si>
  <si>
    <t>Duur van het vruchtgebruik</t>
  </si>
  <si>
    <t>Duurtijd van het vruchtgebruik (in volledige jaren)</t>
  </si>
  <si>
    <t>Noot 3: BELANGRIJK: pas de commentaren hieronder toe en pas de referentierentevoeten aan zoals aangegeven (indien toepasselijk)</t>
  </si>
  <si>
    <t>Random</t>
  </si>
  <si>
    <t>Gelijk rendement Z HF</t>
  </si>
  <si>
    <t>Gelijk rendement Z HF (mix)</t>
  </si>
  <si>
    <t>Gelijk rendement met HF</t>
  </si>
  <si>
    <t>Gelijk rendement met HF (mix)</t>
  </si>
  <si>
    <t>Rendementseis VG zonder HF</t>
  </si>
  <si>
    <t>Rendementseis VG zonder HF (met MW)</t>
  </si>
  <si>
    <t>Rendementseis VG met HF</t>
  </si>
  <si>
    <t>Bewust ongelijk rendement (zonder MW en zonder HF)</t>
  </si>
  <si>
    <t>Bewust ongelijk rendement (met MW en zonder HF)</t>
  </si>
  <si>
    <t>Bewust ongelijk rendement (met HF)</t>
  </si>
  <si>
    <t>ROI Vruchtgebruiker inclusief meerwaarde bij verkoop</t>
  </si>
  <si>
    <t>ROI Vruchtgebruiker exclusief meerwaarde bij verkoop</t>
  </si>
  <si>
    <t>ROI Vruchtgebruiker inclusief meerwaarde bij verkoop en inclusief financieel hefboomeffect</t>
  </si>
  <si>
    <t>ROI Vruchtgebruiker exclusief meerwaarde bij verkoop en inclusief financieel hefboomeffect</t>
  </si>
  <si>
    <t>Vast rendement Vruchtgebruiker incl. meerwaarde bij verkoop en incl. financieel hefboomeffect</t>
  </si>
  <si>
    <t>ROI Blote eigenaar</t>
  </si>
  <si>
    <t>ROI Blote eigenaar met mark-up</t>
  </si>
  <si>
    <t>ROI Blote eigenaar met financieel hefboomeffect</t>
  </si>
  <si>
    <t>Vast rendement Blote eigenaar incl. financieel hefboomeffect</t>
  </si>
  <si>
    <t>Gelijk rendement voor blote eigenaar en vruchtgebruiker (zonder financieel hefboomeffect)</t>
  </si>
  <si>
    <t>Gelijk rendement voor blote eigenaar en vruchtgebruiker (met financieel hefboomeffect)</t>
  </si>
  <si>
    <t>Automatische weging nog te voorzien</t>
  </si>
  <si>
    <t>Referentierentevoet/gewenst ROI (basis) vruchtgebruiker</t>
  </si>
  <si>
    <t>zie veld "commentaar"</t>
  </si>
  <si>
    <t>Referentierentevoet/gewenst ROI (basis) blote eigenaar</t>
  </si>
  <si>
    <t>risicoprofiel</t>
  </si>
  <si>
    <t>selectie risicoprofiel</t>
  </si>
  <si>
    <t>ACTIVERING</t>
  </si>
  <si>
    <t>VOLGNUMMER</t>
  </si>
  <si>
    <t>COMMENTAAR</t>
  </si>
  <si>
    <r>
      <t xml:space="preserve">Kies een zelf geselecteerde realistische rendementseis en vul deze in als "Referentierentevoet/gewenst ROI (basis) vruchtgebruiker" of vul de waardering eerst in </t>
    </r>
    <r>
      <rPr>
        <b/>
        <sz val="11"/>
        <color theme="1"/>
        <rFont val="Calibri"/>
        <family val="2"/>
        <scheme val="minor"/>
      </rPr>
      <t>zonder</t>
    </r>
    <r>
      <rPr>
        <sz val="11"/>
        <color theme="1"/>
        <rFont val="Calibri"/>
        <family val="2"/>
        <scheme val="minor"/>
      </rPr>
      <t xml:space="preserve"> opname van kredieten en neem het percentage over dat in het rendementskader (rechts onderaan) staat bij "vergeleken met investering in volle eigendom"</t>
    </r>
  </si>
  <si>
    <t>Kies zelf verantwoord verschillende rendementseisen (referentierentevoet) voor de vruchtgebruiker en de blote eigenaar; contacteer desnoods de helpdesk</t>
  </si>
  <si>
    <r>
      <t>Voer de berekening eerst alleen uit met de voorlaatste methode ("gelijk rendement […] (zonder financieel hefboomeffect)". Vul vervolgens als "referentierentevoet" voor vruchtgebruiker en blote eigenaar het rendement (</t>
    </r>
    <r>
      <rPr>
        <b/>
        <sz val="11"/>
        <color theme="1"/>
        <rFont val="Calibri"/>
        <family val="2"/>
        <scheme val="minor"/>
      </rPr>
      <t xml:space="preserve">zonder </t>
    </r>
    <r>
      <rPr>
        <sz val="11"/>
        <color theme="1"/>
        <rFont val="Calibri"/>
        <family val="2"/>
        <scheme val="minor"/>
      </rPr>
      <t>financieel hefboomeffect) in dat verkregen wordt voor vruchtgebruiker en blote eigenaar na deze eerste oefening. Activeer vervolgens alle methodes zoals hierboven aangegeven.</t>
    </r>
  </si>
  <si>
    <t>A)</t>
  </si>
  <si>
    <t>B)</t>
  </si>
  <si>
    <t>C)</t>
  </si>
  <si>
    <t>evenwaardig / beide partijen hebben elkaar nodig voor deze structuur</t>
  </si>
  <si>
    <t>D)</t>
  </si>
  <si>
    <t>E)</t>
  </si>
  <si>
    <t>Saldo</t>
  </si>
  <si>
    <t>WERKBEREKENINGEN 2</t>
  </si>
  <si>
    <t>Keuzemogelijkheid 1</t>
  </si>
  <si>
    <t>Keuzemogelijkheid 2</t>
  </si>
  <si>
    <t>Keuzemogelijkheid 3</t>
  </si>
  <si>
    <t>Keuzemogelijkheid 4</t>
  </si>
  <si>
    <t>Keuzemogelijkheid 5</t>
  </si>
  <si>
    <t>Keuzemogelijkheid 6</t>
  </si>
  <si>
    <t>Keuzemogelijkheid 7</t>
  </si>
  <si>
    <t>Keuzemogelijkheid 8</t>
  </si>
  <si>
    <t>Keuzemogelijkheid 9</t>
  </si>
  <si>
    <t>Keuzemogelijkheid 10</t>
  </si>
  <si>
    <t>Keuzemogelijkheid 11</t>
  </si>
  <si>
    <t>OFFICIELE SELECTIE</t>
  </si>
  <si>
    <t>Spartax-Matrix / Versie 0.0</t>
  </si>
  <si>
    <t>Deels in het algemeen en deels in afwachting van een volledig geautomatiseerde integratie in de Spartax-module, wordt de aandacht er op gevestigd dat het voorlopig verkregen eindresultaat moet onderworpen worden aan de volgende controles en zo nodig moet aangepast worden:</t>
  </si>
  <si>
    <t>1) Is de gelijkenis of het verschil tussen de rendementen van vruchtgebruiker en blote eigenaar, zoals te zien in het rendementskader (zie afbeelding hieronder), redelijk verantwoord in het concrete geval?</t>
  </si>
  <si>
    <t>3) Is het netto-rendement (na rekening te houden met de externe financiering) (voldoende) positief in vergelijking met het geval waarin vruchtgebruiker en blote eigenaar afzonderlijk zouden investeren voor de volle eigendom (voor zover financieel haalbaar is uiteraard)?</t>
  </si>
  <si>
    <t>Opmerking: de actualisatie van de huur wordt gerekend aan de hand van de ROI voor de vruchtgebruiker. Ingeval van een hoge ROI, lijken de resultaten van de huur niet representatief meer.</t>
  </si>
  <si>
    <t>5.1. de eigen inbreng (= prijs + verwervingskosten - kredietbedrag) van beide partijen moet vergelijkbaar zijn</t>
  </si>
  <si>
    <t>5.2. de eigen inbreng moet voldoende substantieel zijn</t>
  </si>
  <si>
    <t xml:space="preserve">5.3. ingeval van een variabele rentevoet, kan het effect van de hefboom lopende het vruchtgebruik wijzigen; in dergelijk geval lijkt het hoogstens haalbaar (+ af te stemmen op het concrete geval) </t>
  </si>
  <si>
    <t>om zowel de corresponderende methodes met en zonder hefboomeffect te gebruiken en een passend gewicht te geven aan elk van deze methodes</t>
  </si>
  <si>
    <t>1) gebruikerspremie en VAA</t>
  </si>
  <si>
    <t>2) grove herstellingen: linken aan duur (zowel keuze als percentage/tijdstip)</t>
  </si>
  <si>
    <t>STAP 3: DRUK OP DE KNOP "BEREKEN" IN UW SPARTAX-BEREKENING (WWW.SPARTAX.EU) =&gt; UW VOORLOPIGE PROEFBEREKENING GAAT VAN START</t>
  </si>
  <si>
    <t xml:space="preserve">STAP 4: "SELECTIE VAN DE WAARDERINGSMETHODES" - ACTIVEER IN UW SPARTAX-BEREKENING (WWW.SPARTAX.EU) DE ONDERSTAANDE METHODES </t>
  </si>
  <si>
    <t>Hiermee maakt u de overstap van uw algemene proefberekening naar uw definitieve berekening. U kiest één van de hierna vermelde keuzemogelijkheden (gaande van 1 tot …) en schrijft de getallen (0, 1, …) achter de desbetreffende waarderingsmethode (zie afbeelding hieronder).</t>
  </si>
  <si>
    <t>3) wat was probleem met RR en zo?; check ook vorige versie</t>
  </si>
  <si>
    <t>Registratierechten (kies uw regio)</t>
  </si>
  <si>
    <t>2) Is het netto-rendement (na rekening te houden met de externe financiering) nog (voldoende) positief? Is de eigen inbreng niet te beperkt (waardoor het reële rendement verwaarloosbaar wordt)?</t>
  </si>
  <si>
    <t xml:space="preserve">https://www.notaris.be/rekenmodules/aankoop </t>
  </si>
  <si>
    <t>zie bovenstaande website - btw NIET ingeven</t>
  </si>
  <si>
    <t>6) De waarderingsmodule doet uiteraard geen enkele uitspraak over de fiscale aanvaardbaarheid van vruchtgebruik als zodanig (los van de waardering) in het concrete geval</t>
  </si>
  <si>
    <t>5) Het in rekening brengen van het financiële hefboomeffect bij de waarderingsmethodes kan enkel maar mits vervulling van de volgende voorwaarden (na integratie in de Spartax-module zal deze optie verder geautomatiseerd worden):</t>
  </si>
  <si>
    <t>Percentage btw-aftrek (verhoudingsgetal)</t>
  </si>
  <si>
    <t>Verhuur/terbeschikkingstelling vrijgesteld van btw</t>
  </si>
  <si>
    <t>Verhuur/terbeschikkingstelling onder van btw (btw-leasing, verhuur opslagplaats, btw-eenheid met recht op aftrek, optie btw, etc.)</t>
  </si>
  <si>
    <t>Betreft het een transactie met vrijstelling van btw?</t>
  </si>
  <si>
    <t>Ereloon notaris</t>
  </si>
  <si>
    <t>TERUG VINDT IN UW SPARTAX-BEREKENING</t>
  </si>
  <si>
    <t>NEEM DE COËFFICIËNTEN VAN DE DOOR U WEERHOUDEN KEUZEMOGELIJKHEID (RECHTS) OVER</t>
  </si>
  <si>
    <t xml:space="preserve">BIJ DE WAARDERINGSMETHODES (LINKS), ZOALS U ZE ONDER DEZELFDE NAAM EN VOLGORDE </t>
  </si>
  <si>
    <t>DOE NU HETZELFDE VOOR DE REFERENTIERENTEVOETEN</t>
  </si>
  <si>
    <t>JA</t>
  </si>
  <si>
    <t>NEE</t>
  </si>
  <si>
    <r>
      <t>Voer de berekening eerst alleen uit met de laatste methode ("gelijk rendement […] (</t>
    </r>
    <r>
      <rPr>
        <b/>
        <sz val="11"/>
        <color theme="1"/>
        <rFont val="Calibri"/>
        <family val="2"/>
        <scheme val="minor"/>
      </rPr>
      <t>met</t>
    </r>
    <r>
      <rPr>
        <sz val="11"/>
        <color theme="1"/>
        <rFont val="Calibri"/>
        <family val="2"/>
        <scheme val="minor"/>
      </rPr>
      <t xml:space="preserve"> financieel hefboomeffect)". Vul vervolgens als "referentierentevoet" voor vruchtgebruiker en blote eigenaar het rendement (met</t>
    </r>
    <r>
      <rPr>
        <b/>
        <sz val="11"/>
        <color theme="1"/>
        <rFont val="Calibri"/>
        <family val="2"/>
        <scheme val="minor"/>
      </rPr>
      <t xml:space="preserve"> </t>
    </r>
    <r>
      <rPr>
        <sz val="11"/>
        <color theme="1"/>
        <rFont val="Calibri"/>
        <family val="2"/>
        <scheme val="minor"/>
      </rPr>
      <t>financieel hefboomeffect) in dat verkregen wordt voor vruchtgebruiker en blote eigenaar na deze eerste oefening. Activeer vervolgens alle methodes zoals hierboven aangegeven.</t>
    </r>
  </si>
  <si>
    <r>
      <t xml:space="preserve">Kies een zelf geselecteerde realistische rendementseis en vul deze in als "Referentierentevoet/gewenst ROI (basis) vruchtgebruiker" of vul de waardering eerst </t>
    </r>
    <r>
      <rPr>
        <b/>
        <sz val="11"/>
        <color theme="1"/>
        <rFont val="Calibri"/>
        <family val="2"/>
        <scheme val="minor"/>
      </rPr>
      <t>met</t>
    </r>
    <r>
      <rPr>
        <sz val="11"/>
        <color theme="1"/>
        <rFont val="Calibri"/>
        <family val="2"/>
        <scheme val="minor"/>
      </rPr>
      <t xml:space="preserve"> opname van kredieten en neem het percentage over dat in het rendementskader (rechts onderaan) staat bij "vergeleken met investering in volle eigendom"</t>
    </r>
  </si>
  <si>
    <t>Hieronder ziet u de combinaties van waarderingsmogelijkheden die toepasselijk zijn voor uw geval. Kies er één uit (keuzemogelijkheid 1 of 2 of …) en neem de coëfficiënten (doorgaans 0 of 1) per waarderingsmethode over in de Spartax-applicatie</t>
  </si>
  <si>
    <r>
      <rPr>
        <b/>
        <sz val="11"/>
        <color rgb="FFFF0000"/>
        <rFont val="Calibri"/>
        <family val="2"/>
        <scheme val="minor"/>
      </rPr>
      <t>Disclaimer</t>
    </r>
    <r>
      <rPr>
        <sz val="11"/>
        <color rgb="FFFF0000"/>
        <rFont val="Calibri"/>
        <family val="2"/>
        <scheme val="minor"/>
      </rPr>
      <t>:</t>
    </r>
    <r>
      <rPr>
        <sz val="11"/>
        <color theme="1"/>
        <rFont val="Calibri"/>
        <family val="2"/>
        <scheme val="minor"/>
      </rPr>
      <t xml:space="preserve"> deze 0.0-testversie is een try-out met als bedoeling het systeem op punt te zetten, zowel inhoudelijk als qua gebruiksgemak. Spartax draagt voorlopig aldus geen enkele verantwoordelijkheid voor de toepassing van deze matrix.</t>
    </r>
  </si>
  <si>
    <t>Bij twijfel of indien zekerheid gewenst is, neem dan contact op met de gratis helpdesk (0488/79.83.03 of via info@spartax.eu). Elke waardering wordt met plezier en zonder kosten nagezien door Spartax.</t>
  </si>
  <si>
    <r>
      <t xml:space="preserve">4) Is de investering in vruchtgebruik niet duurder dan de geactualiseerde huurkost (zie afbeelding hieronder) en zo ja, is dit </t>
    </r>
    <r>
      <rPr>
        <i/>
        <sz val="11"/>
        <color theme="1"/>
        <rFont val="Calibri"/>
        <family val="2"/>
        <scheme val="minor"/>
      </rPr>
      <t>in concreto</t>
    </r>
    <r>
      <rPr>
        <sz val="11"/>
        <color theme="1"/>
        <rFont val="Calibri"/>
        <family val="2"/>
        <scheme val="minor"/>
      </rPr>
      <t xml:space="preserve"> verantwoord (noot: vergeleken moet worden met de percentages, aangezien de vestiging van het vruchtgebruik ook gepaard gaat met bijkomende kosten bovenop de prijs)?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</si>
</sst>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8" x14ac:knownFonts="1">
    <font>
      <sz val="11"/>
      <color theme="1"/>
      <name val="Calibri"/>
      <family val="2"/>
      <scheme val="minor"/>
    </font>
    <font>
      <sz val="11"/>
      <color theme="1"/>
      <name val="Calibri"/>
      <family val="2"/>
      <scheme val="minor"/>
    </font>
    <font>
      <b/>
      <sz val="11"/>
      <color rgb="FFFF0000"/>
      <name val="Calibri"/>
      <family val="2"/>
      <scheme val="minor"/>
    </font>
    <font>
      <b/>
      <u/>
      <sz val="18"/>
      <color rgb="FFFF0000"/>
      <name val="Calibri"/>
      <family val="2"/>
      <scheme val="minor"/>
    </font>
    <font>
      <b/>
      <sz val="11"/>
      <color rgb="FF00B0F0"/>
      <name val="Calibri"/>
      <family val="2"/>
      <scheme val="minor"/>
    </font>
    <font>
      <b/>
      <sz val="11"/>
      <color theme="1"/>
      <name val="Calibri"/>
      <family val="2"/>
      <scheme val="minor"/>
    </font>
    <font>
      <u/>
      <sz val="11"/>
      <color theme="4" tint="-0.249977111117893"/>
      <name val="Calibri"/>
      <family val="2"/>
      <scheme val="minor"/>
    </font>
    <font>
      <sz val="11"/>
      <name val="Calibri"/>
      <family val="2"/>
      <scheme val="minor"/>
    </font>
    <font>
      <i/>
      <sz val="11"/>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
      <b/>
      <i/>
      <u/>
      <sz val="11"/>
      <color theme="1"/>
      <name val="Calibri"/>
      <family val="2"/>
      <scheme val="minor"/>
    </font>
    <font>
      <i/>
      <u/>
      <sz val="11"/>
      <color theme="1"/>
      <name val="Calibri"/>
      <family val="2"/>
      <scheme val="minor"/>
    </font>
    <font>
      <u/>
      <sz val="11"/>
      <color theme="10"/>
      <name val="Calibri"/>
      <family val="2"/>
      <scheme val="minor"/>
    </font>
    <font>
      <b/>
      <sz val="16"/>
      <color rgb="FFFF0000"/>
      <name val="Calibri"/>
      <family val="2"/>
      <scheme val="minor"/>
    </font>
    <font>
      <strike/>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58">
    <xf numFmtId="0" fontId="0" fillId="0" borderId="0" xfId="0"/>
    <xf numFmtId="164" fontId="0" fillId="0" borderId="0" xfId="0" applyNumberFormat="1" applyProtection="1">
      <protection hidden="1"/>
    </xf>
    <xf numFmtId="164" fontId="0" fillId="0" borderId="0" xfId="0" applyNumberFormat="1" applyAlignment="1" applyProtection="1">
      <alignment horizontal="right"/>
      <protection hidden="1"/>
    </xf>
    <xf numFmtId="10" fontId="0" fillId="0" borderId="0" xfId="1" applyNumberFormat="1" applyFont="1" applyAlignment="1" applyProtection="1">
      <alignment horizontal="right"/>
      <protection hidden="1"/>
    </xf>
    <xf numFmtId="164" fontId="0" fillId="2" borderId="0" xfId="0" applyNumberFormat="1" applyFill="1" applyProtection="1">
      <protection hidden="1"/>
    </xf>
    <xf numFmtId="164" fontId="0" fillId="0" borderId="0" xfId="0" applyNumberFormat="1" applyFill="1" applyProtection="1">
      <protection hidden="1"/>
    </xf>
    <xf numFmtId="164" fontId="3" fillId="0" borderId="0" xfId="0" applyNumberFormat="1" applyFont="1" applyProtection="1">
      <protection hidden="1"/>
    </xf>
    <xf numFmtId="164" fontId="4" fillId="0" borderId="0" xfId="0" applyNumberFormat="1" applyFont="1" applyProtection="1">
      <protection hidden="1"/>
    </xf>
    <xf numFmtId="164" fontId="0" fillId="0" borderId="0" xfId="0" applyNumberFormat="1" applyFill="1" applyAlignment="1" applyProtection="1">
      <alignment horizontal="left"/>
      <protection hidden="1"/>
    </xf>
    <xf numFmtId="164" fontId="0" fillId="0" borderId="0" xfId="0" applyNumberFormat="1" applyFill="1" applyAlignment="1" applyProtection="1">
      <alignment horizontal="right"/>
      <protection hidden="1"/>
    </xf>
    <xf numFmtId="10" fontId="0" fillId="0" borderId="0" xfId="0" applyNumberFormat="1" applyAlignment="1" applyProtection="1">
      <alignment horizontal="left"/>
      <protection hidden="1"/>
    </xf>
    <xf numFmtId="10" fontId="0" fillId="0" borderId="0" xfId="1" applyNumberFormat="1" applyFont="1" applyFill="1" applyAlignment="1" applyProtection="1">
      <alignment horizontal="right"/>
      <protection hidden="1"/>
    </xf>
    <xf numFmtId="164" fontId="0" fillId="0" borderId="0" xfId="0" applyNumberFormat="1" applyAlignment="1" applyProtection="1">
      <alignment horizontal="left"/>
      <protection hidden="1"/>
    </xf>
    <xf numFmtId="164" fontId="2" fillId="0" borderId="0" xfId="0" applyNumberFormat="1" applyFont="1" applyAlignment="1" applyProtection="1">
      <alignment horizontal="left"/>
      <protection hidden="1"/>
    </xf>
    <xf numFmtId="164" fontId="0" fillId="2" borderId="0" xfId="0" applyNumberFormat="1" applyFill="1" applyAlignment="1" applyProtection="1">
      <alignment horizontal="left"/>
      <protection locked="0"/>
    </xf>
    <xf numFmtId="10" fontId="0" fillId="2" borderId="0" xfId="1" applyNumberFormat="1" applyFont="1" applyFill="1" applyAlignment="1" applyProtection="1">
      <alignment horizontal="left"/>
      <protection locked="0"/>
    </xf>
    <xf numFmtId="2" fontId="0" fillId="2" borderId="0" xfId="0" applyNumberFormat="1" applyFill="1" applyAlignment="1" applyProtection="1">
      <alignment horizontal="left"/>
      <protection locked="0"/>
    </xf>
    <xf numFmtId="2" fontId="0" fillId="0" borderId="0" xfId="0" applyNumberFormat="1" applyAlignment="1" applyProtection="1">
      <alignment horizontal="left"/>
      <protection hidden="1"/>
    </xf>
    <xf numFmtId="10" fontId="0" fillId="0" borderId="0" xfId="1" applyNumberFormat="1" applyFont="1" applyAlignment="1" applyProtection="1">
      <alignment horizontal="left"/>
      <protection hidden="1"/>
    </xf>
    <xf numFmtId="10" fontId="0" fillId="0" borderId="0" xfId="1" applyNumberFormat="1" applyFont="1" applyFill="1" applyAlignment="1" applyProtection="1">
      <alignment horizontal="left"/>
      <protection hidden="1"/>
    </xf>
    <xf numFmtId="4" fontId="0" fillId="0" borderId="0" xfId="1" applyNumberFormat="1" applyFont="1" applyFill="1" applyAlignment="1" applyProtection="1">
      <alignment horizontal="left"/>
      <protection hidden="1"/>
    </xf>
    <xf numFmtId="4" fontId="0" fillId="0" borderId="0" xfId="1" applyNumberFormat="1" applyFont="1" applyAlignment="1" applyProtection="1">
      <alignment horizontal="left"/>
      <protection hidden="1"/>
    </xf>
    <xf numFmtId="2" fontId="0" fillId="0" borderId="0" xfId="0" applyNumberFormat="1" applyFill="1" applyAlignment="1" applyProtection="1">
      <alignment horizontal="left"/>
      <protection hidden="1"/>
    </xf>
    <xf numFmtId="164" fontId="5" fillId="0" borderId="0" xfId="0" applyNumberFormat="1" applyFont="1" applyProtection="1">
      <protection hidden="1"/>
    </xf>
    <xf numFmtId="164" fontId="7" fillId="0" borderId="0" xfId="0" applyNumberFormat="1" applyFont="1" applyProtection="1">
      <protection hidden="1"/>
    </xf>
    <xf numFmtId="164" fontId="0" fillId="3" borderId="0" xfId="0" applyNumberFormat="1" applyFill="1" applyProtection="1">
      <protection hidden="1"/>
    </xf>
    <xf numFmtId="10" fontId="0" fillId="0" borderId="0" xfId="0" applyNumberFormat="1" applyFill="1" applyAlignment="1" applyProtection="1">
      <alignment horizontal="left"/>
      <protection hidden="1"/>
    </xf>
    <xf numFmtId="2" fontId="0" fillId="0" borderId="0" xfId="1" applyNumberFormat="1" applyFont="1" applyAlignment="1" applyProtection="1">
      <alignment horizontal="left"/>
      <protection hidden="1"/>
    </xf>
    <xf numFmtId="164" fontId="8" fillId="0" borderId="0" xfId="0" applyNumberFormat="1" applyFont="1" applyProtection="1">
      <protection hidden="1"/>
    </xf>
    <xf numFmtId="10" fontId="0" fillId="0" borderId="0" xfId="1" applyNumberFormat="1" applyFont="1" applyProtection="1">
      <protection hidden="1"/>
    </xf>
    <xf numFmtId="10" fontId="8" fillId="0" borderId="0" xfId="1" applyNumberFormat="1" applyFont="1" applyProtection="1">
      <protection hidden="1"/>
    </xf>
    <xf numFmtId="164" fontId="0" fillId="0" borderId="0" xfId="0" applyNumberFormat="1" applyAlignment="1" applyProtection="1">
      <alignment vertical="top" wrapText="1"/>
      <protection hidden="1"/>
    </xf>
    <xf numFmtId="164" fontId="5" fillId="0" borderId="0" xfId="0" applyNumberFormat="1" applyFont="1" applyAlignment="1" applyProtection="1">
      <alignment vertical="top" wrapText="1"/>
      <protection hidden="1"/>
    </xf>
    <xf numFmtId="164" fontId="0" fillId="0" borderId="0" xfId="0" quotePrefix="1" applyNumberFormat="1" applyAlignment="1" applyProtection="1">
      <alignment vertical="top" wrapText="1"/>
      <protection hidden="1"/>
    </xf>
    <xf numFmtId="164" fontId="9" fillId="0" borderId="0" xfId="0" applyNumberFormat="1" applyFont="1" applyFill="1" applyProtection="1">
      <protection hidden="1"/>
    </xf>
    <xf numFmtId="164" fontId="5" fillId="2" borderId="0" xfId="0" applyNumberFormat="1" applyFont="1" applyFill="1" applyProtection="1">
      <protection hidden="1"/>
    </xf>
    <xf numFmtId="164" fontId="5" fillId="0" borderId="0" xfId="0" applyNumberFormat="1" applyFont="1" applyFill="1" applyProtection="1">
      <protection hidden="1"/>
    </xf>
    <xf numFmtId="164" fontId="8" fillId="0" borderId="0" xfId="0" applyNumberFormat="1" applyFont="1" applyFill="1" applyProtection="1">
      <protection hidden="1"/>
    </xf>
    <xf numFmtId="164" fontId="10" fillId="0" borderId="0" xfId="0" applyNumberFormat="1" applyFont="1" applyFill="1" applyProtection="1">
      <protection hidden="1"/>
    </xf>
    <xf numFmtId="164" fontId="10" fillId="0" borderId="0" xfId="0" applyNumberFormat="1" applyFont="1" applyProtection="1">
      <protection hidden="1"/>
    </xf>
    <xf numFmtId="164" fontId="11" fillId="0" borderId="0" xfId="0" applyNumberFormat="1" applyFont="1" applyProtection="1">
      <protection hidden="1"/>
    </xf>
    <xf numFmtId="164" fontId="8" fillId="0" borderId="0" xfId="0" applyNumberFormat="1" applyFont="1" applyAlignment="1" applyProtection="1">
      <alignment horizontal="right"/>
      <protection hidden="1"/>
    </xf>
    <xf numFmtId="164" fontId="12" fillId="0" borderId="0" xfId="0" applyNumberFormat="1" applyFont="1" applyAlignment="1" applyProtection="1">
      <alignment vertical="top" wrapText="1"/>
      <protection hidden="1"/>
    </xf>
    <xf numFmtId="164" fontId="13" fillId="0" borderId="0" xfId="0" applyNumberFormat="1" applyFont="1" applyProtection="1">
      <protection hidden="1"/>
    </xf>
    <xf numFmtId="164" fontId="13" fillId="0" borderId="0" xfId="0" applyNumberFormat="1" applyFont="1" applyAlignment="1" applyProtection="1">
      <alignment horizontal="right"/>
      <protection hidden="1"/>
    </xf>
    <xf numFmtId="164" fontId="5" fillId="0" borderId="0" xfId="0" applyNumberFormat="1" applyFont="1" applyAlignment="1" applyProtection="1">
      <alignment horizontal="right"/>
      <protection hidden="1"/>
    </xf>
    <xf numFmtId="164" fontId="0" fillId="0" borderId="0" xfId="0" applyNumberFormat="1" applyAlignment="1" applyProtection="1">
      <alignment wrapText="1"/>
      <protection hidden="1"/>
    </xf>
    <xf numFmtId="164" fontId="0" fillId="0" borderId="0" xfId="0" applyNumberFormat="1" applyAlignment="1" applyProtection="1">
      <alignment horizontal="right" wrapText="1"/>
      <protection hidden="1"/>
    </xf>
    <xf numFmtId="164" fontId="0" fillId="0" borderId="0" xfId="0" applyNumberFormat="1" applyAlignment="1" applyProtection="1">
      <alignment horizontal="right" vertical="top" wrapText="1"/>
      <protection hidden="1"/>
    </xf>
    <xf numFmtId="164" fontId="0" fillId="2" borderId="0" xfId="0" applyNumberFormat="1" applyFill="1" applyProtection="1">
      <protection locked="0"/>
    </xf>
    <xf numFmtId="164" fontId="14" fillId="0" borderId="0" xfId="2" applyNumberFormat="1" applyProtection="1">
      <protection hidden="1"/>
    </xf>
    <xf numFmtId="164" fontId="14" fillId="0" borderId="0" xfId="2" applyNumberFormat="1" applyAlignment="1" applyProtection="1">
      <alignment horizontal="left"/>
      <protection hidden="1"/>
    </xf>
    <xf numFmtId="164" fontId="0" fillId="2" borderId="0" xfId="0" applyNumberFormat="1" applyFill="1" applyAlignment="1" applyProtection="1">
      <alignment horizontal="left"/>
      <protection hidden="1"/>
    </xf>
    <xf numFmtId="10" fontId="0" fillId="2" borderId="0" xfId="0" applyNumberFormat="1" applyFill="1" applyAlignment="1" applyProtection="1">
      <alignment horizontal="left"/>
      <protection hidden="1"/>
    </xf>
    <xf numFmtId="164" fontId="5" fillId="0" borderId="0" xfId="0" applyNumberFormat="1" applyFont="1" applyAlignment="1" applyProtection="1">
      <alignment horizontal="center"/>
      <protection hidden="1"/>
    </xf>
    <xf numFmtId="164" fontId="15" fillId="0" borderId="0" xfId="0" applyNumberFormat="1" applyFont="1" applyProtection="1">
      <protection hidden="1"/>
    </xf>
    <xf numFmtId="10" fontId="5" fillId="0" borderId="0" xfId="1" applyNumberFormat="1" applyFont="1" applyAlignment="1" applyProtection="1">
      <alignment horizontal="center"/>
      <protection hidden="1"/>
    </xf>
    <xf numFmtId="0" fontId="16" fillId="0" borderId="0" xfId="0" applyFont="1" applyAlignment="1"/>
  </cellXfs>
  <cellStyles count="3">
    <cellStyle name="Hyperlink" xfId="2" builtinId="8"/>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1175657</xdr:colOff>
      <xdr:row>0</xdr:row>
      <xdr:rowOff>174171</xdr:rowOff>
    </xdr:from>
    <xdr:to>
      <xdr:col>2</xdr:col>
      <xdr:colOff>6019800</xdr:colOff>
      <xdr:row>18</xdr:row>
      <xdr:rowOff>164982</xdr:rowOff>
    </xdr:to>
    <xdr:pic>
      <xdr:nvPicPr>
        <xdr:cNvPr id="3" name="Afbeelding 2">
          <a:extLst>
            <a:ext uri="{FF2B5EF4-FFF2-40B4-BE49-F238E27FC236}">
              <a16:creationId xmlns:a16="http://schemas.microsoft.com/office/drawing/2014/main" id="{6AB743F8-0B4C-4B57-92F1-D97C661777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27028" y="174171"/>
          <a:ext cx="4844143" cy="3430697"/>
        </a:xfrm>
        <a:prstGeom prst="rect">
          <a:avLst/>
        </a:prstGeom>
      </xdr:spPr>
    </xdr:pic>
    <xdr:clientData/>
  </xdr:twoCellAnchor>
  <xdr:twoCellAnchor editAs="oneCell">
    <xdr:from>
      <xdr:col>2</xdr:col>
      <xdr:colOff>1813</xdr:colOff>
      <xdr:row>20</xdr:row>
      <xdr:rowOff>146308</xdr:rowOff>
    </xdr:from>
    <xdr:to>
      <xdr:col>2</xdr:col>
      <xdr:colOff>7959271</xdr:colOff>
      <xdr:row>24</xdr:row>
      <xdr:rowOff>42134</xdr:rowOff>
    </xdr:to>
    <xdr:pic>
      <xdr:nvPicPr>
        <xdr:cNvPr id="4" name="Afbeelding 3">
          <a:extLst>
            <a:ext uri="{FF2B5EF4-FFF2-40B4-BE49-F238E27FC236}">
              <a16:creationId xmlns:a16="http://schemas.microsoft.com/office/drawing/2014/main" id="{0BE802C3-6BFA-43FC-AB2C-CF0CF710D979}"/>
            </a:ext>
          </a:extLst>
        </xdr:cNvPr>
        <xdr:cNvPicPr>
          <a:picLocks noChangeAspect="1"/>
        </xdr:cNvPicPr>
      </xdr:nvPicPr>
      <xdr:blipFill>
        <a:blip xmlns:r="http://schemas.openxmlformats.org/officeDocument/2006/relationships" r:embed="rId2"/>
        <a:stretch>
          <a:fillRect/>
        </a:stretch>
      </xdr:blipFill>
      <xdr:spPr>
        <a:xfrm>
          <a:off x="10174513" y="3816608"/>
          <a:ext cx="7957458" cy="607026"/>
        </a:xfrm>
        <a:prstGeom prst="rect">
          <a:avLst/>
        </a:prstGeom>
      </xdr:spPr>
    </xdr:pic>
    <xdr:clientData/>
  </xdr:twoCellAnchor>
  <xdr:twoCellAnchor>
    <xdr:from>
      <xdr:col>1</xdr:col>
      <xdr:colOff>7886700</xdr:colOff>
      <xdr:row>67</xdr:row>
      <xdr:rowOff>107043</xdr:rowOff>
    </xdr:from>
    <xdr:to>
      <xdr:col>1</xdr:col>
      <xdr:colOff>8801100</xdr:colOff>
      <xdr:row>67</xdr:row>
      <xdr:rowOff>107043</xdr:rowOff>
    </xdr:to>
    <xdr:cxnSp macro="">
      <xdr:nvCxnSpPr>
        <xdr:cNvPr id="5" name="Rechte verbindingslijn met pijl 4">
          <a:extLst>
            <a:ext uri="{FF2B5EF4-FFF2-40B4-BE49-F238E27FC236}">
              <a16:creationId xmlns:a16="http://schemas.microsoft.com/office/drawing/2014/main" id="{8E0D790A-74DE-40D1-8A61-22F153A0875F}"/>
            </a:ext>
          </a:extLst>
        </xdr:cNvPr>
        <xdr:cNvCxnSpPr/>
      </xdr:nvCxnSpPr>
      <xdr:spPr>
        <a:xfrm flipH="1">
          <a:off x="8509000" y="9822543"/>
          <a:ext cx="9144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5932714</xdr:colOff>
      <xdr:row>22</xdr:row>
      <xdr:rowOff>21772</xdr:rowOff>
    </xdr:from>
    <xdr:to>
      <xdr:col>2</xdr:col>
      <xdr:colOff>87086</xdr:colOff>
      <xdr:row>25</xdr:row>
      <xdr:rowOff>97971</xdr:rowOff>
    </xdr:to>
    <xdr:sp macro="" textlink="">
      <xdr:nvSpPr>
        <xdr:cNvPr id="6" name="Pijl: gekromd omhoog 5">
          <a:extLst>
            <a:ext uri="{FF2B5EF4-FFF2-40B4-BE49-F238E27FC236}">
              <a16:creationId xmlns:a16="http://schemas.microsoft.com/office/drawing/2014/main" id="{5364AD6E-2AE9-41BC-A7DB-48716110C8DC}"/>
            </a:ext>
          </a:extLst>
        </xdr:cNvPr>
        <xdr:cNvSpPr/>
      </xdr:nvSpPr>
      <xdr:spPr>
        <a:xfrm>
          <a:off x="6553200" y="4201886"/>
          <a:ext cx="2220686" cy="631371"/>
        </a:xfrm>
        <a:prstGeom prst="curvedUpArrow">
          <a:avLst>
            <a:gd name="adj1" fmla="val 25000"/>
            <a:gd name="adj2" fmla="val 44814"/>
            <a:gd name="adj3" fmla="val 294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solidFill>
              <a:schemeClr val="tx1"/>
            </a:solidFill>
          </a:endParaRPr>
        </a:p>
      </xdr:txBody>
    </xdr:sp>
    <xdr:clientData/>
  </xdr:twoCellAnchor>
  <xdr:twoCellAnchor editAs="oneCell">
    <xdr:from>
      <xdr:col>1</xdr:col>
      <xdr:colOff>2220685</xdr:colOff>
      <xdr:row>678</xdr:row>
      <xdr:rowOff>141514</xdr:rowOff>
    </xdr:from>
    <xdr:to>
      <xdr:col>2</xdr:col>
      <xdr:colOff>1014441</xdr:colOff>
      <xdr:row>693</xdr:row>
      <xdr:rowOff>146609</xdr:rowOff>
    </xdr:to>
    <xdr:pic>
      <xdr:nvPicPr>
        <xdr:cNvPr id="2" name="Afbeelding 1">
          <a:extLst>
            <a:ext uri="{FF2B5EF4-FFF2-40B4-BE49-F238E27FC236}">
              <a16:creationId xmlns:a16="http://schemas.microsoft.com/office/drawing/2014/main" id="{E34A8C21-E9F0-4EFE-AD07-5BE00014AF90}"/>
            </a:ext>
          </a:extLst>
        </xdr:cNvPr>
        <xdr:cNvPicPr>
          <a:picLocks noChangeAspect="1"/>
        </xdr:cNvPicPr>
      </xdr:nvPicPr>
      <xdr:blipFill>
        <a:blip xmlns:r="http://schemas.openxmlformats.org/officeDocument/2006/relationships" r:embed="rId3"/>
        <a:stretch>
          <a:fillRect/>
        </a:stretch>
      </xdr:blipFill>
      <xdr:spPr>
        <a:xfrm>
          <a:off x="2841171" y="115911085"/>
          <a:ext cx="8838095" cy="2780952"/>
        </a:xfrm>
        <a:prstGeom prst="rect">
          <a:avLst/>
        </a:prstGeom>
      </xdr:spPr>
    </xdr:pic>
    <xdr:clientData/>
  </xdr:twoCellAnchor>
  <xdr:twoCellAnchor editAs="oneCell">
    <xdr:from>
      <xdr:col>1</xdr:col>
      <xdr:colOff>2166258</xdr:colOff>
      <xdr:row>735</xdr:row>
      <xdr:rowOff>130628</xdr:rowOff>
    </xdr:from>
    <xdr:to>
      <xdr:col>2</xdr:col>
      <xdr:colOff>969538</xdr:colOff>
      <xdr:row>743</xdr:row>
      <xdr:rowOff>59695</xdr:rowOff>
    </xdr:to>
    <xdr:pic>
      <xdr:nvPicPr>
        <xdr:cNvPr id="7" name="Afbeelding 6">
          <a:extLst>
            <a:ext uri="{FF2B5EF4-FFF2-40B4-BE49-F238E27FC236}">
              <a16:creationId xmlns:a16="http://schemas.microsoft.com/office/drawing/2014/main" id="{A4320E22-ED29-4396-BB25-E4198A7EE361}"/>
            </a:ext>
          </a:extLst>
        </xdr:cNvPr>
        <xdr:cNvPicPr>
          <a:picLocks noChangeAspect="1"/>
        </xdr:cNvPicPr>
      </xdr:nvPicPr>
      <xdr:blipFill>
        <a:blip xmlns:r="http://schemas.openxmlformats.org/officeDocument/2006/relationships" r:embed="rId4"/>
        <a:stretch>
          <a:fillRect/>
        </a:stretch>
      </xdr:blipFill>
      <xdr:spPr>
        <a:xfrm>
          <a:off x="2786744" y="119971457"/>
          <a:ext cx="8847619" cy="1409524"/>
        </a:xfrm>
        <a:prstGeom prst="rect">
          <a:avLst/>
        </a:prstGeom>
      </xdr:spPr>
    </xdr:pic>
    <xdr:clientData/>
  </xdr:twoCellAnchor>
  <xdr:twoCellAnchor editAs="oneCell">
    <xdr:from>
      <xdr:col>1</xdr:col>
      <xdr:colOff>0</xdr:colOff>
      <xdr:row>455</xdr:row>
      <xdr:rowOff>0</xdr:rowOff>
    </xdr:from>
    <xdr:to>
      <xdr:col>1</xdr:col>
      <xdr:colOff>8826757</xdr:colOff>
      <xdr:row>462</xdr:row>
      <xdr:rowOff>104600</xdr:rowOff>
    </xdr:to>
    <xdr:pic>
      <xdr:nvPicPr>
        <xdr:cNvPr id="8" name="Afbeelding 7">
          <a:extLst>
            <a:ext uri="{FF2B5EF4-FFF2-40B4-BE49-F238E27FC236}">
              <a16:creationId xmlns:a16="http://schemas.microsoft.com/office/drawing/2014/main" id="{476ECFAE-99BD-46AA-8576-3B011C5B7CAC}"/>
            </a:ext>
          </a:extLst>
        </xdr:cNvPr>
        <xdr:cNvPicPr>
          <a:picLocks noChangeAspect="1"/>
        </xdr:cNvPicPr>
      </xdr:nvPicPr>
      <xdr:blipFill>
        <a:blip xmlns:r="http://schemas.openxmlformats.org/officeDocument/2006/relationships" r:embed="rId5"/>
        <a:stretch>
          <a:fillRect/>
        </a:stretch>
      </xdr:blipFill>
      <xdr:spPr>
        <a:xfrm>
          <a:off x="620486" y="44609657"/>
          <a:ext cx="8828571" cy="1400000"/>
        </a:xfrm>
        <a:prstGeom prst="rect">
          <a:avLst/>
        </a:prstGeom>
      </xdr:spPr>
    </xdr:pic>
    <xdr:clientData/>
  </xdr:twoCellAnchor>
  <xdr:twoCellAnchor>
    <xdr:from>
      <xdr:col>1</xdr:col>
      <xdr:colOff>7326085</xdr:colOff>
      <xdr:row>458</xdr:row>
      <xdr:rowOff>-1</xdr:rowOff>
    </xdr:from>
    <xdr:to>
      <xdr:col>2</xdr:col>
      <xdr:colOff>272142</xdr:colOff>
      <xdr:row>461</xdr:row>
      <xdr:rowOff>97971</xdr:rowOff>
    </xdr:to>
    <xdr:sp macro="" textlink="">
      <xdr:nvSpPr>
        <xdr:cNvPr id="9" name="Ovaal 8">
          <a:extLst>
            <a:ext uri="{FF2B5EF4-FFF2-40B4-BE49-F238E27FC236}">
              <a16:creationId xmlns:a16="http://schemas.microsoft.com/office/drawing/2014/main" id="{1124CB35-0E70-4F11-9D77-43B92C957A36}"/>
            </a:ext>
          </a:extLst>
        </xdr:cNvPr>
        <xdr:cNvSpPr/>
      </xdr:nvSpPr>
      <xdr:spPr>
        <a:xfrm>
          <a:off x="7946571" y="45164828"/>
          <a:ext cx="1012371" cy="653143"/>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8813800</xdr:colOff>
      <xdr:row>469</xdr:row>
      <xdr:rowOff>152400</xdr:rowOff>
    </xdr:from>
    <xdr:to>
      <xdr:col>1</xdr:col>
      <xdr:colOff>9353800</xdr:colOff>
      <xdr:row>492</xdr:row>
      <xdr:rowOff>50800</xdr:rowOff>
    </xdr:to>
    <xdr:sp macro="" textlink="">
      <xdr:nvSpPr>
        <xdr:cNvPr id="10" name="Rechteraccolade 9">
          <a:extLst>
            <a:ext uri="{FF2B5EF4-FFF2-40B4-BE49-F238E27FC236}">
              <a16:creationId xmlns:a16="http://schemas.microsoft.com/office/drawing/2014/main" id="{59BD1E81-761A-4701-A581-2C620F210181}"/>
            </a:ext>
          </a:extLst>
        </xdr:cNvPr>
        <xdr:cNvSpPr/>
      </xdr:nvSpPr>
      <xdr:spPr>
        <a:xfrm>
          <a:off x="9436100" y="64096900"/>
          <a:ext cx="540000" cy="3987800"/>
        </a:xfrm>
        <a:prstGeom prst="rightBrace">
          <a:avLst/>
        </a:prstGeom>
        <a:noFill/>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BE" sz="1100"/>
        </a:p>
      </xdr:txBody>
    </xdr:sp>
    <xdr:clientData/>
  </xdr:twoCellAnchor>
  <xdr:twoCellAnchor>
    <xdr:from>
      <xdr:col>2</xdr:col>
      <xdr:colOff>8356600</xdr:colOff>
      <xdr:row>469</xdr:row>
      <xdr:rowOff>139700</xdr:rowOff>
    </xdr:from>
    <xdr:to>
      <xdr:col>3</xdr:col>
      <xdr:colOff>330500</xdr:colOff>
      <xdr:row>491</xdr:row>
      <xdr:rowOff>101600</xdr:rowOff>
    </xdr:to>
    <xdr:sp macro="" textlink="">
      <xdr:nvSpPr>
        <xdr:cNvPr id="11" name="Linkeraccolade 10">
          <a:extLst>
            <a:ext uri="{FF2B5EF4-FFF2-40B4-BE49-F238E27FC236}">
              <a16:creationId xmlns:a16="http://schemas.microsoft.com/office/drawing/2014/main" id="{FC3DEF8A-C7C6-4F96-B047-A8FD640D8EC1}"/>
            </a:ext>
          </a:extLst>
        </xdr:cNvPr>
        <xdr:cNvSpPr/>
      </xdr:nvSpPr>
      <xdr:spPr>
        <a:xfrm>
          <a:off x="18529300" y="64084200"/>
          <a:ext cx="648000" cy="3873500"/>
        </a:xfrm>
        <a:prstGeom prst="leftBrac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BE" sz="1100"/>
        </a:p>
      </xdr:txBody>
    </xdr:sp>
    <xdr:clientData/>
  </xdr:twoCellAnchor>
  <xdr:twoCellAnchor>
    <xdr:from>
      <xdr:col>2</xdr:col>
      <xdr:colOff>889000</xdr:colOff>
      <xdr:row>479</xdr:row>
      <xdr:rowOff>139700</xdr:rowOff>
    </xdr:from>
    <xdr:to>
      <xdr:col>2</xdr:col>
      <xdr:colOff>7073900</xdr:colOff>
      <xdr:row>484</xdr:row>
      <xdr:rowOff>139700</xdr:rowOff>
    </xdr:to>
    <xdr:sp macro="" textlink="">
      <xdr:nvSpPr>
        <xdr:cNvPr id="12" name="Pijl: links 11">
          <a:extLst>
            <a:ext uri="{FF2B5EF4-FFF2-40B4-BE49-F238E27FC236}">
              <a16:creationId xmlns:a16="http://schemas.microsoft.com/office/drawing/2014/main" id="{99BA23D7-8752-4013-98B1-482EA2C20C50}"/>
            </a:ext>
          </a:extLst>
        </xdr:cNvPr>
        <xdr:cNvSpPr/>
      </xdr:nvSpPr>
      <xdr:spPr>
        <a:xfrm>
          <a:off x="11061700" y="65862200"/>
          <a:ext cx="6184900" cy="8890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8686800</xdr:colOff>
      <xdr:row>521</xdr:row>
      <xdr:rowOff>25400</xdr:rowOff>
    </xdr:from>
    <xdr:to>
      <xdr:col>1</xdr:col>
      <xdr:colOff>9315700</xdr:colOff>
      <xdr:row>526</xdr:row>
      <xdr:rowOff>88900</xdr:rowOff>
    </xdr:to>
    <xdr:sp macro="" textlink="">
      <xdr:nvSpPr>
        <xdr:cNvPr id="13" name="Rechteraccolade 12">
          <a:extLst>
            <a:ext uri="{FF2B5EF4-FFF2-40B4-BE49-F238E27FC236}">
              <a16:creationId xmlns:a16="http://schemas.microsoft.com/office/drawing/2014/main" id="{D91FC4DC-9DB6-46D7-B993-3270DAD8F0CA}"/>
            </a:ext>
          </a:extLst>
        </xdr:cNvPr>
        <xdr:cNvSpPr/>
      </xdr:nvSpPr>
      <xdr:spPr>
        <a:xfrm>
          <a:off x="9309100" y="69570600"/>
          <a:ext cx="628900" cy="952500"/>
        </a:xfrm>
        <a:prstGeom prst="rightBrace">
          <a:avLst/>
        </a:prstGeom>
        <a:noFill/>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BE" sz="1100"/>
        </a:p>
      </xdr:txBody>
    </xdr:sp>
    <xdr:clientData/>
  </xdr:twoCellAnchor>
  <xdr:twoCellAnchor>
    <xdr:from>
      <xdr:col>2</xdr:col>
      <xdr:colOff>8267700</xdr:colOff>
      <xdr:row>520</xdr:row>
      <xdr:rowOff>114300</xdr:rowOff>
    </xdr:from>
    <xdr:to>
      <xdr:col>3</xdr:col>
      <xdr:colOff>241600</xdr:colOff>
      <xdr:row>526</xdr:row>
      <xdr:rowOff>152400</xdr:rowOff>
    </xdr:to>
    <xdr:sp macro="" textlink="">
      <xdr:nvSpPr>
        <xdr:cNvPr id="14" name="Linkeraccolade 13">
          <a:extLst>
            <a:ext uri="{FF2B5EF4-FFF2-40B4-BE49-F238E27FC236}">
              <a16:creationId xmlns:a16="http://schemas.microsoft.com/office/drawing/2014/main" id="{B18440B0-93B7-42E5-B46E-47D1B15CF21F}"/>
            </a:ext>
          </a:extLst>
        </xdr:cNvPr>
        <xdr:cNvSpPr/>
      </xdr:nvSpPr>
      <xdr:spPr>
        <a:xfrm>
          <a:off x="18440400" y="69481700"/>
          <a:ext cx="648000" cy="1104900"/>
        </a:xfrm>
        <a:prstGeom prst="leftBrac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BE" sz="1100"/>
        </a:p>
      </xdr:txBody>
    </xdr:sp>
    <xdr:clientData/>
  </xdr:twoCellAnchor>
  <xdr:twoCellAnchor>
    <xdr:from>
      <xdr:col>2</xdr:col>
      <xdr:colOff>876300</xdr:colOff>
      <xdr:row>522</xdr:row>
      <xdr:rowOff>12700</xdr:rowOff>
    </xdr:from>
    <xdr:to>
      <xdr:col>2</xdr:col>
      <xdr:colOff>7061200</xdr:colOff>
      <xdr:row>527</xdr:row>
      <xdr:rowOff>25400</xdr:rowOff>
    </xdr:to>
    <xdr:sp macro="" textlink="">
      <xdr:nvSpPr>
        <xdr:cNvPr id="15" name="Pijl: links 14">
          <a:extLst>
            <a:ext uri="{FF2B5EF4-FFF2-40B4-BE49-F238E27FC236}">
              <a16:creationId xmlns:a16="http://schemas.microsoft.com/office/drawing/2014/main" id="{356048CB-9775-43D5-A172-4F7325998BB3}"/>
            </a:ext>
          </a:extLst>
        </xdr:cNvPr>
        <xdr:cNvSpPr/>
      </xdr:nvSpPr>
      <xdr:spPr>
        <a:xfrm>
          <a:off x="11049000" y="69735700"/>
          <a:ext cx="6184900" cy="9017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1</xdr:col>
      <xdr:colOff>39452</xdr:colOff>
      <xdr:row>527</xdr:row>
      <xdr:rowOff>50800</xdr:rowOff>
    </xdr:from>
    <xdr:to>
      <xdr:col>1</xdr:col>
      <xdr:colOff>6009576</xdr:colOff>
      <xdr:row>539</xdr:row>
      <xdr:rowOff>114043</xdr:rowOff>
    </xdr:to>
    <xdr:pic>
      <xdr:nvPicPr>
        <xdr:cNvPr id="16" name="Afbeelding 15">
          <a:extLst>
            <a:ext uri="{FF2B5EF4-FFF2-40B4-BE49-F238E27FC236}">
              <a16:creationId xmlns:a16="http://schemas.microsoft.com/office/drawing/2014/main" id="{6DAC78E8-481F-4172-B330-F379FF751E1B}"/>
            </a:ext>
          </a:extLst>
        </xdr:cNvPr>
        <xdr:cNvPicPr>
          <a:picLocks noChangeAspect="1"/>
        </xdr:cNvPicPr>
      </xdr:nvPicPr>
      <xdr:blipFill>
        <a:blip xmlns:r="http://schemas.openxmlformats.org/officeDocument/2006/relationships" r:embed="rId6"/>
        <a:stretch>
          <a:fillRect/>
        </a:stretch>
      </xdr:blipFill>
      <xdr:spPr>
        <a:xfrm>
          <a:off x="661752" y="70662800"/>
          <a:ext cx="5970124" cy="2196843"/>
        </a:xfrm>
        <a:prstGeom prst="rect">
          <a:avLst/>
        </a:prstGeom>
      </xdr:spPr>
    </xdr:pic>
    <xdr:clientData/>
  </xdr:twoCellAnchor>
  <xdr:twoCellAnchor editAs="oneCell">
    <xdr:from>
      <xdr:col>0</xdr:col>
      <xdr:colOff>596900</xdr:colOff>
      <xdr:row>494</xdr:row>
      <xdr:rowOff>0</xdr:rowOff>
    </xdr:from>
    <xdr:to>
      <xdr:col>1</xdr:col>
      <xdr:colOff>7869838</xdr:colOff>
      <xdr:row>517</xdr:row>
      <xdr:rowOff>91552</xdr:rowOff>
    </xdr:to>
    <xdr:pic>
      <xdr:nvPicPr>
        <xdr:cNvPr id="17" name="Afbeelding 16">
          <a:extLst>
            <a:ext uri="{FF2B5EF4-FFF2-40B4-BE49-F238E27FC236}">
              <a16:creationId xmlns:a16="http://schemas.microsoft.com/office/drawing/2014/main" id="{20954315-8666-474E-B3E1-A781CBF825F1}"/>
            </a:ext>
          </a:extLst>
        </xdr:cNvPr>
        <xdr:cNvPicPr>
          <a:picLocks noChangeAspect="1"/>
        </xdr:cNvPicPr>
      </xdr:nvPicPr>
      <xdr:blipFill>
        <a:blip xmlns:r="http://schemas.openxmlformats.org/officeDocument/2006/relationships" r:embed="rId7"/>
        <a:stretch>
          <a:fillRect/>
        </a:stretch>
      </xdr:blipFill>
      <xdr:spPr>
        <a:xfrm>
          <a:off x="596900" y="68478400"/>
          <a:ext cx="7895238" cy="4180952"/>
        </a:xfrm>
        <a:prstGeom prst="rect">
          <a:avLst/>
        </a:prstGeom>
      </xdr:spPr>
    </xdr:pic>
    <xdr:clientData/>
  </xdr:twoCellAnchor>
  <xdr:twoCellAnchor>
    <xdr:from>
      <xdr:col>1</xdr:col>
      <xdr:colOff>7899400</xdr:colOff>
      <xdr:row>489</xdr:row>
      <xdr:rowOff>152400</xdr:rowOff>
    </xdr:from>
    <xdr:to>
      <xdr:col>1</xdr:col>
      <xdr:colOff>8382000</xdr:colOff>
      <xdr:row>495</xdr:row>
      <xdr:rowOff>38100</xdr:rowOff>
    </xdr:to>
    <xdr:sp macro="" textlink="">
      <xdr:nvSpPr>
        <xdr:cNvPr id="18" name="Pijl: gekromd links 17">
          <a:extLst>
            <a:ext uri="{FF2B5EF4-FFF2-40B4-BE49-F238E27FC236}">
              <a16:creationId xmlns:a16="http://schemas.microsoft.com/office/drawing/2014/main" id="{45D636EC-6DC0-4A7F-9CFD-4A5080979DFB}"/>
            </a:ext>
          </a:extLst>
        </xdr:cNvPr>
        <xdr:cNvSpPr/>
      </xdr:nvSpPr>
      <xdr:spPr>
        <a:xfrm>
          <a:off x="8521700" y="67741800"/>
          <a:ext cx="482600" cy="952500"/>
        </a:xfrm>
        <a:prstGeom prst="curvedLeftArrow">
          <a:avLst/>
        </a:prstGeom>
        <a:solidFill>
          <a:schemeClr val="accent6">
            <a:lumMod val="75000"/>
          </a:schemeClr>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solidFill>
              <a:schemeClr val="tx1"/>
            </a:solidFill>
          </a:endParaRPr>
        </a:p>
      </xdr:txBody>
    </xdr:sp>
    <xdr:clientData/>
  </xdr:twoCellAnchor>
  <xdr:twoCellAnchor>
    <xdr:from>
      <xdr:col>1</xdr:col>
      <xdr:colOff>7797800</xdr:colOff>
      <xdr:row>524</xdr:row>
      <xdr:rowOff>152400</xdr:rowOff>
    </xdr:from>
    <xdr:to>
      <xdr:col>1</xdr:col>
      <xdr:colOff>8280400</xdr:colOff>
      <xdr:row>530</xdr:row>
      <xdr:rowOff>38100</xdr:rowOff>
    </xdr:to>
    <xdr:sp macro="" textlink="">
      <xdr:nvSpPr>
        <xdr:cNvPr id="19" name="Pijl: gekromd links 18">
          <a:extLst>
            <a:ext uri="{FF2B5EF4-FFF2-40B4-BE49-F238E27FC236}">
              <a16:creationId xmlns:a16="http://schemas.microsoft.com/office/drawing/2014/main" id="{D5817BC1-FC7A-48BE-8F70-83CD8A7C6CE3}"/>
            </a:ext>
          </a:extLst>
        </xdr:cNvPr>
        <xdr:cNvSpPr/>
      </xdr:nvSpPr>
      <xdr:spPr>
        <a:xfrm>
          <a:off x="8420100" y="73964800"/>
          <a:ext cx="482600" cy="952500"/>
        </a:xfrm>
        <a:prstGeom prst="curvedLef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solidFill>
              <a:schemeClr val="tx1"/>
            </a:solidFill>
          </a:endParaRPr>
        </a:p>
      </xdr:txBody>
    </xdr:sp>
    <xdr:clientData/>
  </xdr:twoCellAnchor>
  <xdr:twoCellAnchor>
    <xdr:from>
      <xdr:col>1</xdr:col>
      <xdr:colOff>6400800</xdr:colOff>
      <xdr:row>494</xdr:row>
      <xdr:rowOff>12700</xdr:rowOff>
    </xdr:from>
    <xdr:to>
      <xdr:col>1</xdr:col>
      <xdr:colOff>7886700</xdr:colOff>
      <xdr:row>518</xdr:row>
      <xdr:rowOff>12700</xdr:rowOff>
    </xdr:to>
    <xdr:sp macro="" textlink="">
      <xdr:nvSpPr>
        <xdr:cNvPr id="20" name="Ovaal 19">
          <a:extLst>
            <a:ext uri="{FF2B5EF4-FFF2-40B4-BE49-F238E27FC236}">
              <a16:creationId xmlns:a16="http://schemas.microsoft.com/office/drawing/2014/main" id="{B75236CC-FA76-4D29-A8B1-9D2AD477C50A}"/>
            </a:ext>
          </a:extLst>
        </xdr:cNvPr>
        <xdr:cNvSpPr/>
      </xdr:nvSpPr>
      <xdr:spPr>
        <a:xfrm>
          <a:off x="7023100" y="68491100"/>
          <a:ext cx="1485900" cy="42672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3011252</xdr:colOff>
      <xdr:row>528</xdr:row>
      <xdr:rowOff>38100</xdr:rowOff>
    </xdr:from>
    <xdr:to>
      <xdr:col>1</xdr:col>
      <xdr:colOff>4497152</xdr:colOff>
      <xdr:row>541</xdr:row>
      <xdr:rowOff>152400</xdr:rowOff>
    </xdr:to>
    <xdr:sp macro="" textlink="">
      <xdr:nvSpPr>
        <xdr:cNvPr id="21" name="Ovaal 20">
          <a:extLst>
            <a:ext uri="{FF2B5EF4-FFF2-40B4-BE49-F238E27FC236}">
              <a16:creationId xmlns:a16="http://schemas.microsoft.com/office/drawing/2014/main" id="{1B2ACD5A-5E8A-414D-9605-9B2B24D383A9}"/>
            </a:ext>
          </a:extLst>
        </xdr:cNvPr>
        <xdr:cNvSpPr/>
      </xdr:nvSpPr>
      <xdr:spPr>
        <a:xfrm>
          <a:off x="3633552" y="74561700"/>
          <a:ext cx="1485900" cy="24257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1</xdr:col>
      <xdr:colOff>2197100</xdr:colOff>
      <xdr:row>698</xdr:row>
      <xdr:rowOff>50800</xdr:rowOff>
    </xdr:from>
    <xdr:to>
      <xdr:col>2</xdr:col>
      <xdr:colOff>990856</xdr:colOff>
      <xdr:row>713</xdr:row>
      <xdr:rowOff>55895</xdr:rowOff>
    </xdr:to>
    <xdr:pic>
      <xdr:nvPicPr>
        <xdr:cNvPr id="22" name="Afbeelding 21">
          <a:extLst>
            <a:ext uri="{FF2B5EF4-FFF2-40B4-BE49-F238E27FC236}">
              <a16:creationId xmlns:a16="http://schemas.microsoft.com/office/drawing/2014/main" id="{E94969C2-7A2F-4B68-B036-9C2F36D432A2}"/>
            </a:ext>
          </a:extLst>
        </xdr:cNvPr>
        <xdr:cNvPicPr>
          <a:picLocks noChangeAspect="1"/>
        </xdr:cNvPicPr>
      </xdr:nvPicPr>
      <xdr:blipFill>
        <a:blip xmlns:r="http://schemas.openxmlformats.org/officeDocument/2006/relationships" r:embed="rId3"/>
        <a:stretch>
          <a:fillRect/>
        </a:stretch>
      </xdr:blipFill>
      <xdr:spPr>
        <a:xfrm>
          <a:off x="2819400" y="113157000"/>
          <a:ext cx="8836281" cy="2672095"/>
        </a:xfrm>
        <a:prstGeom prst="rect">
          <a:avLst/>
        </a:prstGeom>
      </xdr:spPr>
    </xdr:pic>
    <xdr:clientData/>
  </xdr:twoCellAnchor>
  <xdr:twoCellAnchor>
    <xdr:from>
      <xdr:col>1</xdr:col>
      <xdr:colOff>2120900</xdr:colOff>
      <xdr:row>705</xdr:row>
      <xdr:rowOff>25400</xdr:rowOff>
    </xdr:from>
    <xdr:to>
      <xdr:col>2</xdr:col>
      <xdr:colOff>1447800</xdr:colOff>
      <xdr:row>710</xdr:row>
      <xdr:rowOff>165100</xdr:rowOff>
    </xdr:to>
    <xdr:sp macro="" textlink="">
      <xdr:nvSpPr>
        <xdr:cNvPr id="23" name="Rechthoek 22">
          <a:extLst>
            <a:ext uri="{FF2B5EF4-FFF2-40B4-BE49-F238E27FC236}">
              <a16:creationId xmlns:a16="http://schemas.microsoft.com/office/drawing/2014/main" id="{DF2CE368-6FF9-47A2-B822-B73D075BD20D}"/>
            </a:ext>
          </a:extLst>
        </xdr:cNvPr>
        <xdr:cNvSpPr/>
      </xdr:nvSpPr>
      <xdr:spPr>
        <a:xfrm>
          <a:off x="2743200" y="114376200"/>
          <a:ext cx="8877300"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660400</xdr:colOff>
      <xdr:row>697</xdr:row>
      <xdr:rowOff>63500</xdr:rowOff>
    </xdr:from>
    <xdr:to>
      <xdr:col>1</xdr:col>
      <xdr:colOff>1676400</xdr:colOff>
      <xdr:row>708</xdr:row>
      <xdr:rowOff>165100</xdr:rowOff>
    </xdr:to>
    <xdr:sp macro="" textlink="">
      <xdr:nvSpPr>
        <xdr:cNvPr id="24" name="Pijl: gebogen omhoog 23">
          <a:extLst>
            <a:ext uri="{FF2B5EF4-FFF2-40B4-BE49-F238E27FC236}">
              <a16:creationId xmlns:a16="http://schemas.microsoft.com/office/drawing/2014/main" id="{1FF4EEF0-6CF7-415A-8A8C-C36B2ED7560A}"/>
            </a:ext>
          </a:extLst>
        </xdr:cNvPr>
        <xdr:cNvSpPr/>
      </xdr:nvSpPr>
      <xdr:spPr>
        <a:xfrm rot="5400000">
          <a:off x="762000" y="113512600"/>
          <a:ext cx="2057400" cy="1016000"/>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1</xdr:col>
      <xdr:colOff>2133600</xdr:colOff>
      <xdr:row>717</xdr:row>
      <xdr:rowOff>114300</xdr:rowOff>
    </xdr:from>
    <xdr:to>
      <xdr:col>2</xdr:col>
      <xdr:colOff>927356</xdr:colOff>
      <xdr:row>732</xdr:row>
      <xdr:rowOff>119395</xdr:rowOff>
    </xdr:to>
    <xdr:pic>
      <xdr:nvPicPr>
        <xdr:cNvPr id="25" name="Afbeelding 24">
          <a:extLst>
            <a:ext uri="{FF2B5EF4-FFF2-40B4-BE49-F238E27FC236}">
              <a16:creationId xmlns:a16="http://schemas.microsoft.com/office/drawing/2014/main" id="{8C2D921B-4D49-4757-8699-12774B2F99D0}"/>
            </a:ext>
          </a:extLst>
        </xdr:cNvPr>
        <xdr:cNvPicPr>
          <a:picLocks noChangeAspect="1"/>
        </xdr:cNvPicPr>
      </xdr:nvPicPr>
      <xdr:blipFill>
        <a:blip xmlns:r="http://schemas.openxmlformats.org/officeDocument/2006/relationships" r:embed="rId3"/>
        <a:stretch>
          <a:fillRect/>
        </a:stretch>
      </xdr:blipFill>
      <xdr:spPr>
        <a:xfrm>
          <a:off x="2755900" y="116598700"/>
          <a:ext cx="8836281" cy="2672095"/>
        </a:xfrm>
        <a:prstGeom prst="rect">
          <a:avLst/>
        </a:prstGeom>
      </xdr:spPr>
    </xdr:pic>
    <xdr:clientData/>
  </xdr:twoCellAnchor>
  <xdr:twoCellAnchor>
    <xdr:from>
      <xdr:col>1</xdr:col>
      <xdr:colOff>2108200</xdr:colOff>
      <xdr:row>724</xdr:row>
      <xdr:rowOff>127000</xdr:rowOff>
    </xdr:from>
    <xdr:to>
      <xdr:col>2</xdr:col>
      <xdr:colOff>1435100</xdr:colOff>
      <xdr:row>729</xdr:row>
      <xdr:rowOff>139700</xdr:rowOff>
    </xdr:to>
    <xdr:sp macro="" textlink="">
      <xdr:nvSpPr>
        <xdr:cNvPr id="26" name="Rechthoek 25">
          <a:extLst>
            <a:ext uri="{FF2B5EF4-FFF2-40B4-BE49-F238E27FC236}">
              <a16:creationId xmlns:a16="http://schemas.microsoft.com/office/drawing/2014/main" id="{9D76FD5A-F278-47F2-84E7-4B8013A93F30}"/>
            </a:ext>
          </a:extLst>
        </xdr:cNvPr>
        <xdr:cNvSpPr/>
      </xdr:nvSpPr>
      <xdr:spPr>
        <a:xfrm>
          <a:off x="2730500" y="117856000"/>
          <a:ext cx="8877300" cy="901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xdr:col>
      <xdr:colOff>2095500</xdr:colOff>
      <xdr:row>730</xdr:row>
      <xdr:rowOff>127000</xdr:rowOff>
    </xdr:from>
    <xdr:to>
      <xdr:col>2</xdr:col>
      <xdr:colOff>1422400</xdr:colOff>
      <xdr:row>732</xdr:row>
      <xdr:rowOff>88900</xdr:rowOff>
    </xdr:to>
    <xdr:sp macro="" textlink="">
      <xdr:nvSpPr>
        <xdr:cNvPr id="28" name="Rechthoek 27">
          <a:extLst>
            <a:ext uri="{FF2B5EF4-FFF2-40B4-BE49-F238E27FC236}">
              <a16:creationId xmlns:a16="http://schemas.microsoft.com/office/drawing/2014/main" id="{E2BB5AE9-A359-4C90-824A-5DA03165BB4F}"/>
            </a:ext>
          </a:extLst>
        </xdr:cNvPr>
        <xdr:cNvSpPr/>
      </xdr:nvSpPr>
      <xdr:spPr>
        <a:xfrm>
          <a:off x="2717800" y="118922800"/>
          <a:ext cx="8877300" cy="317500"/>
        </a:xfrm>
        <a:prstGeom prst="rect">
          <a:avLst/>
        </a:prstGeom>
        <a:noFill/>
        <a:ln w="571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1435348</xdr:colOff>
      <xdr:row>728</xdr:row>
      <xdr:rowOff>155891</xdr:rowOff>
    </xdr:from>
    <xdr:to>
      <xdr:col>2</xdr:col>
      <xdr:colOff>1945525</xdr:colOff>
      <xdr:row>731</xdr:row>
      <xdr:rowOff>136148</xdr:rowOff>
    </xdr:to>
    <xdr:sp macro="" textlink="">
      <xdr:nvSpPr>
        <xdr:cNvPr id="29" name="Pijl: links/omhoog 28">
          <a:extLst>
            <a:ext uri="{FF2B5EF4-FFF2-40B4-BE49-F238E27FC236}">
              <a16:creationId xmlns:a16="http://schemas.microsoft.com/office/drawing/2014/main" id="{603547EE-4B18-4028-86EA-D575CD6EBC08}"/>
            </a:ext>
          </a:extLst>
        </xdr:cNvPr>
        <xdr:cNvSpPr/>
      </xdr:nvSpPr>
      <xdr:spPr>
        <a:xfrm rot="18924374">
          <a:off x="11608048" y="118596091"/>
          <a:ext cx="510177" cy="513657"/>
        </a:xfrm>
        <a:prstGeom prst="leftUp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1968500</xdr:colOff>
      <xdr:row>727</xdr:row>
      <xdr:rowOff>76200</xdr:rowOff>
    </xdr:from>
    <xdr:to>
      <xdr:col>2</xdr:col>
      <xdr:colOff>3009900</xdr:colOff>
      <xdr:row>732</xdr:row>
      <xdr:rowOff>114300</xdr:rowOff>
    </xdr:to>
    <xdr:sp macro="" textlink="">
      <xdr:nvSpPr>
        <xdr:cNvPr id="30" name="Tekstvak 29">
          <a:extLst>
            <a:ext uri="{FF2B5EF4-FFF2-40B4-BE49-F238E27FC236}">
              <a16:creationId xmlns:a16="http://schemas.microsoft.com/office/drawing/2014/main" id="{40316828-4CFB-4B1A-B29B-9C01377B56A1}"/>
            </a:ext>
          </a:extLst>
        </xdr:cNvPr>
        <xdr:cNvSpPr txBox="1"/>
      </xdr:nvSpPr>
      <xdr:spPr>
        <a:xfrm>
          <a:off x="12141200" y="118338600"/>
          <a:ext cx="104140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5400" b="1">
              <a:solidFill>
                <a:srgbClr val="92D050"/>
              </a:solidFill>
            </a:rPr>
            <a: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taris.be/rekenmodules/aanko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54"/>
  <sheetViews>
    <sheetView tabSelected="1" view="pageBreakPreview" zoomScale="70" zoomScaleNormal="85" zoomScaleSheetLayoutView="70" workbookViewId="0">
      <selection activeCell="C28" sqref="C28"/>
    </sheetView>
  </sheetViews>
  <sheetFormatPr defaultColWidth="9.140625" defaultRowHeight="15" outlineLevelRow="1" x14ac:dyDescent="0.25"/>
  <cols>
    <col min="1" max="1" width="9.140625" style="1"/>
    <col min="2" max="2" width="146.7109375" style="1" customWidth="1"/>
    <col min="3" max="3" width="126.42578125" style="12" customWidth="1"/>
    <col min="4" max="4" width="25.7109375" style="1" customWidth="1"/>
    <col min="5" max="5" width="25.7109375" style="2" customWidth="1"/>
    <col min="6" max="25" width="25.7109375" style="1" customWidth="1"/>
    <col min="26" max="26" width="9.140625" style="1"/>
    <col min="27" max="27" width="32.7109375" style="1" bestFit="1" customWidth="1"/>
    <col min="28" max="16384" width="9.140625" style="1"/>
  </cols>
  <sheetData>
    <row r="1" spans="1:1" ht="23.25" x14ac:dyDescent="0.35">
      <c r="A1" s="6" t="s">
        <v>267</v>
      </c>
    </row>
    <row r="4" spans="1:1" x14ac:dyDescent="0.25">
      <c r="A4" s="7" t="s">
        <v>0</v>
      </c>
    </row>
    <row r="6" spans="1:1" x14ac:dyDescent="0.25">
      <c r="A6" s="1" t="s">
        <v>1</v>
      </c>
    </row>
    <row r="8" spans="1:1" x14ac:dyDescent="0.25">
      <c r="A8" s="1" t="s">
        <v>2</v>
      </c>
    </row>
    <row r="10" spans="1:1" x14ac:dyDescent="0.25">
      <c r="A10" s="1" t="s">
        <v>3</v>
      </c>
    </row>
    <row r="12" spans="1:1" x14ac:dyDescent="0.25">
      <c r="A12" s="1" t="s">
        <v>4</v>
      </c>
    </row>
    <row r="14" spans="1:1" x14ac:dyDescent="0.25">
      <c r="A14" s="1" t="s">
        <v>5</v>
      </c>
    </row>
    <row r="16" spans="1:1" x14ac:dyDescent="0.25">
      <c r="A16" s="1" t="s">
        <v>190</v>
      </c>
    </row>
    <row r="20" spans="1:3" x14ac:dyDescent="0.25">
      <c r="A20" s="7" t="s">
        <v>6</v>
      </c>
      <c r="C20" s="13" t="s">
        <v>7</v>
      </c>
    </row>
    <row r="21" spans="1:3" x14ac:dyDescent="0.25">
      <c r="A21" s="7"/>
      <c r="C21" s="13"/>
    </row>
    <row r="22" spans="1:3" x14ac:dyDescent="0.25">
      <c r="B22" s="23" t="s">
        <v>209</v>
      </c>
      <c r="C22" s="1"/>
    </row>
    <row r="23" spans="1:3" x14ac:dyDescent="0.25">
      <c r="C23" s="1"/>
    </row>
    <row r="24" spans="1:3" x14ac:dyDescent="0.25">
      <c r="C24" s="1"/>
    </row>
    <row r="25" spans="1:3" x14ac:dyDescent="0.25">
      <c r="C25" s="1"/>
    </row>
    <row r="26" spans="1:3" x14ac:dyDescent="0.25">
      <c r="A26" s="7"/>
      <c r="C26" s="13"/>
    </row>
    <row r="28" spans="1:3" x14ac:dyDescent="0.25">
      <c r="A28" s="1" t="s">
        <v>8</v>
      </c>
      <c r="B28" s="1" t="s">
        <v>9</v>
      </c>
      <c r="C28" s="14" t="s">
        <v>10</v>
      </c>
    </row>
    <row r="30" spans="1:3" x14ac:dyDescent="0.25">
      <c r="B30" s="1" t="s">
        <v>11</v>
      </c>
      <c r="C30" s="14" t="s">
        <v>12</v>
      </c>
    </row>
    <row r="31" spans="1:3" hidden="1" x14ac:dyDescent="0.25">
      <c r="C31" s="12" t="s">
        <v>12</v>
      </c>
    </row>
    <row r="32" spans="1:3" hidden="1" x14ac:dyDescent="0.25">
      <c r="C32" s="12" t="s">
        <v>13</v>
      </c>
    </row>
    <row r="35" spans="1:5" x14ac:dyDescent="0.25">
      <c r="A35" s="1" t="s">
        <v>14</v>
      </c>
      <c r="B35" s="1" t="s">
        <v>15</v>
      </c>
      <c r="C35" s="14" t="s">
        <v>10</v>
      </c>
    </row>
    <row r="36" spans="1:5" s="5" customFormat="1" x14ac:dyDescent="0.25">
      <c r="C36" s="8"/>
      <c r="E36" s="9"/>
    </row>
    <row r="37" spans="1:5" x14ac:dyDescent="0.25">
      <c r="B37" s="1" t="s">
        <v>11</v>
      </c>
      <c r="C37" s="14" t="s">
        <v>16</v>
      </c>
    </row>
    <row r="38" spans="1:5" hidden="1" x14ac:dyDescent="0.25">
      <c r="C38" s="12" t="s">
        <v>17</v>
      </c>
    </row>
    <row r="39" spans="1:5" hidden="1" x14ac:dyDescent="0.25">
      <c r="C39" s="12" t="s">
        <v>16</v>
      </c>
    </row>
    <row r="42" spans="1:5" x14ac:dyDescent="0.25">
      <c r="A42" s="1" t="s">
        <v>18</v>
      </c>
      <c r="B42" s="1" t="s">
        <v>191</v>
      </c>
      <c r="C42" s="14" t="s">
        <v>10</v>
      </c>
    </row>
    <row r="45" spans="1:5" x14ac:dyDescent="0.25">
      <c r="A45" s="1" t="s">
        <v>19</v>
      </c>
      <c r="B45" s="1" t="s">
        <v>20</v>
      </c>
      <c r="C45" s="14" t="s">
        <v>21</v>
      </c>
      <c r="E45" s="1"/>
    </row>
    <row r="48" spans="1:5" x14ac:dyDescent="0.25">
      <c r="A48" s="1" t="s">
        <v>22</v>
      </c>
      <c r="B48" s="1" t="s">
        <v>192</v>
      </c>
      <c r="C48" s="14" t="s">
        <v>10</v>
      </c>
    </row>
    <row r="51" spans="1:5" x14ac:dyDescent="0.25">
      <c r="A51" s="1" t="s">
        <v>23</v>
      </c>
      <c r="B51" s="1" t="s">
        <v>282</v>
      </c>
      <c r="C51" s="14" t="s">
        <v>26</v>
      </c>
      <c r="E51" s="3"/>
    </row>
    <row r="52" spans="1:5" s="5" customFormat="1" hidden="1" x14ac:dyDescent="0.25">
      <c r="C52" s="8" t="s">
        <v>26</v>
      </c>
      <c r="E52" s="11"/>
    </row>
    <row r="53" spans="1:5" s="5" customFormat="1" hidden="1" x14ac:dyDescent="0.25">
      <c r="C53" s="8" t="s">
        <v>27</v>
      </c>
      <c r="E53" s="11"/>
    </row>
    <row r="54" spans="1:5" s="5" customFormat="1" hidden="1" x14ac:dyDescent="0.25">
      <c r="C54" s="8" t="s">
        <v>28</v>
      </c>
      <c r="E54" s="11"/>
    </row>
    <row r="55" spans="1:5" s="5" customFormat="1" hidden="1" x14ac:dyDescent="0.25">
      <c r="C55" s="8" t="s">
        <v>25</v>
      </c>
      <c r="E55" s="11"/>
    </row>
    <row r="58" spans="1:5" x14ac:dyDescent="0.25">
      <c r="B58" s="1" t="s">
        <v>193</v>
      </c>
      <c r="C58" s="14" t="s">
        <v>10</v>
      </c>
      <c r="D58" s="50"/>
    </row>
    <row r="59" spans="1:5" x14ac:dyDescent="0.25">
      <c r="C59" s="51" t="s">
        <v>284</v>
      </c>
      <c r="D59" s="50"/>
    </row>
    <row r="60" spans="1:5" x14ac:dyDescent="0.25">
      <c r="C60" s="12" t="s">
        <v>285</v>
      </c>
    </row>
    <row r="62" spans="1:5" x14ac:dyDescent="0.25">
      <c r="A62" s="1" t="s">
        <v>30</v>
      </c>
      <c r="B62" s="1" t="s">
        <v>31</v>
      </c>
      <c r="C62" s="14" t="s">
        <v>198</v>
      </c>
      <c r="E62" s="3"/>
    </row>
    <row r="63" spans="1:5" hidden="1" x14ac:dyDescent="0.25">
      <c r="C63" s="12" t="s">
        <v>197</v>
      </c>
    </row>
    <row r="64" spans="1:5" hidden="1" x14ac:dyDescent="0.25">
      <c r="C64" s="12" t="s">
        <v>198</v>
      </c>
    </row>
    <row r="65" spans="1:3" hidden="1" x14ac:dyDescent="0.25">
      <c r="C65" s="12" t="s">
        <v>199</v>
      </c>
    </row>
    <row r="66" spans="1:3" hidden="1" x14ac:dyDescent="0.25">
      <c r="C66" s="12" t="s">
        <v>200</v>
      </c>
    </row>
    <row r="68" spans="1:3" x14ac:dyDescent="0.25">
      <c r="B68" s="24" t="str">
        <f>IF(C62="btw-plichtige met gedeeltelijk recht op aftrek","Hoeveel bedraagt u recht op aftrek in % uitgedrukt (algemeen verhoudingsgetal)?","Het vak hiernaast niet invullen aub (werkt automatisch als u geen btw-plichtige bent met gedeeltelijk recht op aftrek)")</f>
        <v>Hoeveel bedraagt u recht op aftrek in % uitgedrukt (algemeen verhoudingsgetal)?</v>
      </c>
      <c r="C68" s="15"/>
    </row>
    <row r="71" spans="1:3" x14ac:dyDescent="0.25">
      <c r="A71" s="1" t="s">
        <v>32</v>
      </c>
      <c r="B71" s="1" t="s">
        <v>211</v>
      </c>
      <c r="C71" s="14">
        <v>20</v>
      </c>
    </row>
    <row r="74" spans="1:3" x14ac:dyDescent="0.25">
      <c r="A74" s="1" t="s">
        <v>33</v>
      </c>
      <c r="B74" s="1" t="s">
        <v>34</v>
      </c>
      <c r="C74" s="14" t="s">
        <v>35</v>
      </c>
    </row>
    <row r="75" spans="1:3" hidden="1" outlineLevel="1" x14ac:dyDescent="0.25">
      <c r="C75" s="12" t="s">
        <v>36</v>
      </c>
    </row>
    <row r="76" spans="1:3" hidden="1" outlineLevel="1" x14ac:dyDescent="0.25">
      <c r="C76" s="12" t="s">
        <v>37</v>
      </c>
    </row>
    <row r="77" spans="1:3" hidden="1" outlineLevel="1" x14ac:dyDescent="0.25">
      <c r="C77" s="12" t="s">
        <v>38</v>
      </c>
    </row>
    <row r="78" spans="1:3" hidden="1" outlineLevel="1" x14ac:dyDescent="0.25">
      <c r="C78" s="12" t="s">
        <v>35</v>
      </c>
    </row>
    <row r="79" spans="1:3" hidden="1" outlineLevel="1" x14ac:dyDescent="0.25">
      <c r="C79" s="12" t="s">
        <v>39</v>
      </c>
    </row>
    <row r="80" spans="1:3" hidden="1" outlineLevel="1" x14ac:dyDescent="0.25">
      <c r="C80" s="12" t="s">
        <v>40</v>
      </c>
    </row>
    <row r="81" spans="1:3" hidden="1" outlineLevel="1" x14ac:dyDescent="0.25">
      <c r="C81" s="12" t="s">
        <v>41</v>
      </c>
    </row>
    <row r="82" spans="1:3" hidden="1" outlineLevel="1" x14ac:dyDescent="0.25">
      <c r="C82" s="12" t="s">
        <v>42</v>
      </c>
    </row>
    <row r="83" spans="1:3" hidden="1" outlineLevel="1" x14ac:dyDescent="0.25"/>
    <row r="84" spans="1:3" hidden="1" outlineLevel="1" x14ac:dyDescent="0.25"/>
    <row r="85" spans="1:3" collapsed="1" x14ac:dyDescent="0.25"/>
    <row r="87" spans="1:3" x14ac:dyDescent="0.25">
      <c r="A87" s="1" t="s">
        <v>43</v>
      </c>
      <c r="B87" s="1" t="s">
        <v>44</v>
      </c>
      <c r="C87" s="14" t="s">
        <v>45</v>
      </c>
    </row>
    <row r="88" spans="1:3" hidden="1" x14ac:dyDescent="0.25">
      <c r="C88" s="12" t="s">
        <v>45</v>
      </c>
    </row>
    <row r="89" spans="1:3" hidden="1" x14ac:dyDescent="0.25">
      <c r="C89" s="12" t="s">
        <v>250</v>
      </c>
    </row>
    <row r="90" spans="1:3" hidden="1" x14ac:dyDescent="0.25">
      <c r="C90" s="12" t="s">
        <v>46</v>
      </c>
    </row>
    <row r="93" spans="1:3" x14ac:dyDescent="0.25">
      <c r="A93" s="1" t="s">
        <v>47</v>
      </c>
      <c r="B93" s="1" t="s">
        <v>48</v>
      </c>
      <c r="C93" s="14" t="s">
        <v>49</v>
      </c>
    </row>
    <row r="94" spans="1:3" hidden="1" x14ac:dyDescent="0.25">
      <c r="C94" s="12" t="s">
        <v>49</v>
      </c>
    </row>
    <row r="95" spans="1:3" hidden="1" x14ac:dyDescent="0.25">
      <c r="C95" s="12" t="str">
        <f>C89</f>
        <v>evenwaardig / beide partijen hebben elkaar nodig voor deze structuur</v>
      </c>
    </row>
    <row r="96" spans="1:3" hidden="1" x14ac:dyDescent="0.25">
      <c r="C96" s="12" t="s">
        <v>50</v>
      </c>
    </row>
    <row r="99" spans="1:3" x14ac:dyDescent="0.25">
      <c r="A99" s="1" t="s">
        <v>51</v>
      </c>
      <c r="B99" s="1" t="s">
        <v>52</v>
      </c>
      <c r="C99" s="14" t="s">
        <v>53</v>
      </c>
    </row>
    <row r="100" spans="1:3" hidden="1" x14ac:dyDescent="0.25">
      <c r="C100" s="12" t="s">
        <v>53</v>
      </c>
    </row>
    <row r="101" spans="1:3" hidden="1" x14ac:dyDescent="0.25">
      <c r="C101" s="12" t="s">
        <v>54</v>
      </c>
    </row>
    <row r="102" spans="1:3" hidden="1" x14ac:dyDescent="0.25">
      <c r="C102" s="12" t="s">
        <v>55</v>
      </c>
    </row>
    <row r="103" spans="1:3" hidden="1" x14ac:dyDescent="0.25">
      <c r="C103" s="12" t="s">
        <v>56</v>
      </c>
    </row>
    <row r="106" spans="1:3" x14ac:dyDescent="0.25">
      <c r="A106" s="1" t="s">
        <v>57</v>
      </c>
      <c r="B106" s="1" t="s">
        <v>58</v>
      </c>
      <c r="C106" s="14" t="s">
        <v>62</v>
      </c>
    </row>
    <row r="107" spans="1:3" hidden="1" x14ac:dyDescent="0.25">
      <c r="C107" s="12" t="s">
        <v>60</v>
      </c>
    </row>
    <row r="108" spans="1:3" hidden="1" x14ac:dyDescent="0.25">
      <c r="C108" s="12" t="s">
        <v>59</v>
      </c>
    </row>
    <row r="109" spans="1:3" hidden="1" x14ac:dyDescent="0.25">
      <c r="C109" s="12" t="s">
        <v>61</v>
      </c>
    </row>
    <row r="110" spans="1:3" hidden="1" x14ac:dyDescent="0.25">
      <c r="C110" s="12" t="s">
        <v>62</v>
      </c>
    </row>
    <row r="113" spans="1:3" x14ac:dyDescent="0.25">
      <c r="A113" s="1" t="s">
        <v>63</v>
      </c>
      <c r="B113" s="1" t="s">
        <v>64</v>
      </c>
      <c r="C113" s="14" t="s">
        <v>65</v>
      </c>
    </row>
    <row r="114" spans="1:3" hidden="1" x14ac:dyDescent="0.25">
      <c r="C114" s="12" t="s">
        <v>66</v>
      </c>
    </row>
    <row r="115" spans="1:3" hidden="1" x14ac:dyDescent="0.25">
      <c r="C115" s="12" t="s">
        <v>67</v>
      </c>
    </row>
    <row r="116" spans="1:3" hidden="1" x14ac:dyDescent="0.25">
      <c r="C116" s="12" t="s">
        <v>68</v>
      </c>
    </row>
    <row r="117" spans="1:3" hidden="1" x14ac:dyDescent="0.25">
      <c r="C117" s="12" t="s">
        <v>69</v>
      </c>
    </row>
    <row r="118" spans="1:3" hidden="1" x14ac:dyDescent="0.25">
      <c r="C118" s="12" t="s">
        <v>70</v>
      </c>
    </row>
    <row r="119" spans="1:3" hidden="1" x14ac:dyDescent="0.25">
      <c r="C119" s="12" t="s">
        <v>65</v>
      </c>
    </row>
    <row r="120" spans="1:3" hidden="1" x14ac:dyDescent="0.25">
      <c r="C120" s="12" t="s">
        <v>71</v>
      </c>
    </row>
    <row r="121" spans="1:3" hidden="1" x14ac:dyDescent="0.25">
      <c r="C121" s="12" t="s">
        <v>72</v>
      </c>
    </row>
    <row r="122" spans="1:3" hidden="1" x14ac:dyDescent="0.25">
      <c r="C122" s="12" t="s">
        <v>73</v>
      </c>
    </row>
    <row r="125" spans="1:3" x14ac:dyDescent="0.25">
      <c r="A125" s="1" t="s">
        <v>74</v>
      </c>
      <c r="B125" s="1" t="s">
        <v>75</v>
      </c>
      <c r="C125" s="16" t="s">
        <v>188</v>
      </c>
    </row>
    <row r="126" spans="1:3" hidden="1" x14ac:dyDescent="0.25">
      <c r="C126" s="17" t="s">
        <v>77</v>
      </c>
    </row>
    <row r="127" spans="1:3" hidden="1" x14ac:dyDescent="0.25">
      <c r="C127" s="17" t="s">
        <v>78</v>
      </c>
    </row>
    <row r="128" spans="1:3" hidden="1" x14ac:dyDescent="0.25">
      <c r="C128" s="17" t="s">
        <v>188</v>
      </c>
    </row>
    <row r="129" spans="1:5" hidden="1" x14ac:dyDescent="0.25">
      <c r="C129" s="17" t="s">
        <v>187</v>
      </c>
    </row>
    <row r="130" spans="1:5" hidden="1" x14ac:dyDescent="0.25">
      <c r="C130" s="17" t="s">
        <v>186</v>
      </c>
    </row>
    <row r="131" spans="1:5" hidden="1" x14ac:dyDescent="0.25">
      <c r="C131" s="17" t="s">
        <v>76</v>
      </c>
    </row>
    <row r="134" spans="1:5" s="5" customFormat="1" x14ac:dyDescent="0.25">
      <c r="A134" s="5" t="s">
        <v>79</v>
      </c>
      <c r="B134" s="5" t="s">
        <v>80</v>
      </c>
      <c r="C134" s="14" t="s">
        <v>83</v>
      </c>
      <c r="E134" s="9"/>
    </row>
    <row r="135" spans="1:5" s="5" customFormat="1" x14ac:dyDescent="0.25">
      <c r="C135" s="8"/>
      <c r="E135" s="9"/>
    </row>
    <row r="136" spans="1:5" s="5" customFormat="1" hidden="1" x14ac:dyDescent="0.25">
      <c r="C136" s="22" t="s">
        <v>81</v>
      </c>
      <c r="E136" s="9"/>
    </row>
    <row r="137" spans="1:5" s="5" customFormat="1" hidden="1" x14ac:dyDescent="0.25">
      <c r="C137" s="22" t="s">
        <v>84</v>
      </c>
      <c r="E137" s="9"/>
    </row>
    <row r="138" spans="1:5" s="5" customFormat="1" hidden="1" x14ac:dyDescent="0.25">
      <c r="C138" s="22" t="s">
        <v>85</v>
      </c>
      <c r="E138" s="9"/>
    </row>
    <row r="139" spans="1:5" s="5" customFormat="1" hidden="1" x14ac:dyDescent="0.25">
      <c r="C139" s="22" t="s">
        <v>82</v>
      </c>
      <c r="E139" s="9"/>
    </row>
    <row r="140" spans="1:5" s="5" customFormat="1" hidden="1" x14ac:dyDescent="0.25">
      <c r="C140" s="22" t="s">
        <v>83</v>
      </c>
      <c r="E140" s="9"/>
    </row>
    <row r="141" spans="1:5" s="5" customFormat="1" hidden="1" x14ac:dyDescent="0.25">
      <c r="C141" s="22"/>
      <c r="E141" s="9"/>
    </row>
    <row r="143" spans="1:5" x14ac:dyDescent="0.25">
      <c r="A143" s="1" t="s">
        <v>86</v>
      </c>
      <c r="B143" s="1" t="s">
        <v>87</v>
      </c>
      <c r="C143" s="14" t="s">
        <v>90</v>
      </c>
    </row>
    <row r="144" spans="1:5" hidden="1" x14ac:dyDescent="0.25">
      <c r="C144" s="12" t="s">
        <v>89</v>
      </c>
    </row>
    <row r="145" spans="1:3" hidden="1" x14ac:dyDescent="0.25">
      <c r="C145" s="12" t="s">
        <v>88</v>
      </c>
    </row>
    <row r="146" spans="1:3" hidden="1" x14ac:dyDescent="0.25">
      <c r="C146" s="12" t="s">
        <v>90</v>
      </c>
    </row>
    <row r="147" spans="1:3" hidden="1" x14ac:dyDescent="0.25">
      <c r="C147" s="12" t="s">
        <v>91</v>
      </c>
    </row>
    <row r="148" spans="1:3" hidden="1" x14ac:dyDescent="0.25"/>
    <row r="149" spans="1:3" hidden="1" x14ac:dyDescent="0.25">
      <c r="B149" s="1" t="str">
        <f>IF(C143=C144,"DEZE LIJN OVERSLAAN",B150)</f>
        <v>Betreft het een transactie met vrijstelling van btw?</v>
      </c>
      <c r="C149" s="52" t="s">
        <v>289</v>
      </c>
    </row>
    <row r="150" spans="1:3" hidden="1" x14ac:dyDescent="0.25">
      <c r="B150" s="1" t="s">
        <v>291</v>
      </c>
      <c r="C150" s="1" t="s">
        <v>289</v>
      </c>
    </row>
    <row r="151" spans="1:3" hidden="1" x14ac:dyDescent="0.25">
      <c r="C151" s="1" t="s">
        <v>290</v>
      </c>
    </row>
    <row r="152" spans="1:3" x14ac:dyDescent="0.25">
      <c r="C152" s="1"/>
    </row>
    <row r="153" spans="1:3" x14ac:dyDescent="0.25">
      <c r="C153" s="1"/>
    </row>
    <row r="154" spans="1:3" x14ac:dyDescent="0.25">
      <c r="A154" s="1" t="s">
        <v>93</v>
      </c>
      <c r="B154" s="1" t="s">
        <v>94</v>
      </c>
    </row>
    <row r="156" spans="1:3" x14ac:dyDescent="0.25">
      <c r="B156" s="1" t="s">
        <v>95</v>
      </c>
      <c r="C156" s="12" t="s">
        <v>196</v>
      </c>
    </row>
    <row r="157" spans="1:3" x14ac:dyDescent="0.25">
      <c r="B157" s="1" t="s">
        <v>96</v>
      </c>
      <c r="C157" s="12" t="s">
        <v>196</v>
      </c>
    </row>
    <row r="158" spans="1:3" x14ac:dyDescent="0.25">
      <c r="B158" s="1" t="s">
        <v>97</v>
      </c>
      <c r="C158" s="12" t="s">
        <v>196</v>
      </c>
    </row>
    <row r="161" spans="1:3" x14ac:dyDescent="0.25">
      <c r="A161" s="1" t="s">
        <v>98</v>
      </c>
      <c r="B161" s="1" t="s">
        <v>99</v>
      </c>
    </row>
    <row r="163" spans="1:3" x14ac:dyDescent="0.25">
      <c r="B163" s="40" t="s">
        <v>100</v>
      </c>
    </row>
    <row r="164" spans="1:3" x14ac:dyDescent="0.25">
      <c r="B164" s="1" t="s">
        <v>101</v>
      </c>
      <c r="C164" s="14" t="s">
        <v>194</v>
      </c>
    </row>
    <row r="165" spans="1:3" x14ac:dyDescent="0.25">
      <c r="B165" s="1" t="s">
        <v>102</v>
      </c>
      <c r="C165" s="14" t="s">
        <v>103</v>
      </c>
    </row>
    <row r="166" spans="1:3" x14ac:dyDescent="0.25">
      <c r="B166" s="1" t="s">
        <v>104</v>
      </c>
      <c r="C166" s="15" t="s">
        <v>105</v>
      </c>
    </row>
    <row r="167" spans="1:3" x14ac:dyDescent="0.25">
      <c r="B167" s="1" t="s">
        <v>106</v>
      </c>
      <c r="C167" s="8"/>
    </row>
    <row r="168" spans="1:3" x14ac:dyDescent="0.25">
      <c r="B168" s="1" t="s">
        <v>107</v>
      </c>
      <c r="C168" s="14" t="s">
        <v>92</v>
      </c>
    </row>
    <row r="169" spans="1:3" hidden="1" x14ac:dyDescent="0.25">
      <c r="C169" s="8" t="s">
        <v>108</v>
      </c>
    </row>
    <row r="170" spans="1:3" hidden="1" x14ac:dyDescent="0.25">
      <c r="C170" s="8" t="s">
        <v>92</v>
      </c>
    </row>
    <row r="171" spans="1:3" x14ac:dyDescent="0.25">
      <c r="B171" s="1" t="s">
        <v>109</v>
      </c>
      <c r="C171" s="14" t="s">
        <v>110</v>
      </c>
    </row>
    <row r="172" spans="1:3" hidden="1" x14ac:dyDescent="0.25">
      <c r="C172" s="8" t="s">
        <v>110</v>
      </c>
    </row>
    <row r="173" spans="1:3" hidden="1" x14ac:dyDescent="0.25">
      <c r="C173" s="5" t="s">
        <v>195</v>
      </c>
    </row>
    <row r="174" spans="1:3" x14ac:dyDescent="0.25">
      <c r="B174" s="1" t="s">
        <v>111</v>
      </c>
      <c r="C174" s="14" t="s">
        <v>112</v>
      </c>
    </row>
    <row r="175" spans="1:3" hidden="1" x14ac:dyDescent="0.25">
      <c r="C175" s="8" t="s">
        <v>113</v>
      </c>
    </row>
    <row r="176" spans="1:3" hidden="1" x14ac:dyDescent="0.25">
      <c r="C176" s="8" t="s">
        <v>114</v>
      </c>
    </row>
    <row r="177" spans="2:3" hidden="1" x14ac:dyDescent="0.25">
      <c r="C177" s="8" t="s">
        <v>115</v>
      </c>
    </row>
    <row r="178" spans="2:3" hidden="1" x14ac:dyDescent="0.25">
      <c r="C178" s="8" t="s">
        <v>112</v>
      </c>
    </row>
    <row r="179" spans="2:3" hidden="1" x14ac:dyDescent="0.25">
      <c r="C179" s="8" t="s">
        <v>116</v>
      </c>
    </row>
    <row r="180" spans="2:3" hidden="1" x14ac:dyDescent="0.25">
      <c r="C180" s="8" t="s">
        <v>42</v>
      </c>
    </row>
    <row r="181" spans="2:3" x14ac:dyDescent="0.25">
      <c r="B181" s="1" t="s">
        <v>117</v>
      </c>
      <c r="C181" s="14" t="s">
        <v>118</v>
      </c>
    </row>
    <row r="182" spans="2:3" hidden="1" x14ac:dyDescent="0.25">
      <c r="C182" s="8" t="s">
        <v>113</v>
      </c>
    </row>
    <row r="183" spans="2:3" hidden="1" x14ac:dyDescent="0.25">
      <c r="C183" s="8" t="s">
        <v>119</v>
      </c>
    </row>
    <row r="184" spans="2:3" hidden="1" x14ac:dyDescent="0.25">
      <c r="C184" s="8" t="s">
        <v>118</v>
      </c>
    </row>
    <row r="185" spans="2:3" hidden="1" x14ac:dyDescent="0.25">
      <c r="C185" s="8" t="s">
        <v>120</v>
      </c>
    </row>
    <row r="186" spans="2:3" hidden="1" x14ac:dyDescent="0.25">
      <c r="C186" s="8" t="s">
        <v>42</v>
      </c>
    </row>
    <row r="187" spans="2:3" x14ac:dyDescent="0.25">
      <c r="C187" s="8"/>
    </row>
    <row r="188" spans="2:3" hidden="1" x14ac:dyDescent="0.25">
      <c r="C188" s="8"/>
    </row>
    <row r="189" spans="2:3" ht="14.25" hidden="1" customHeight="1" x14ac:dyDescent="0.25"/>
    <row r="191" spans="2:3" x14ac:dyDescent="0.25">
      <c r="B191" s="40" t="s">
        <v>121</v>
      </c>
    </row>
    <row r="192" spans="2:3" x14ac:dyDescent="0.25">
      <c r="B192" s="1" t="s">
        <v>101</v>
      </c>
      <c r="C192" s="49" t="s">
        <v>194</v>
      </c>
    </row>
    <row r="193" spans="2:3" x14ac:dyDescent="0.25">
      <c r="B193" s="1" t="s">
        <v>102</v>
      </c>
      <c r="C193" s="14" t="s">
        <v>103</v>
      </c>
    </row>
    <row r="194" spans="2:3" x14ac:dyDescent="0.25">
      <c r="B194" s="1" t="s">
        <v>104</v>
      </c>
      <c r="C194" s="15" t="s">
        <v>105</v>
      </c>
    </row>
    <row r="195" spans="2:3" x14ac:dyDescent="0.25">
      <c r="B195" s="1" t="s">
        <v>106</v>
      </c>
      <c r="C195" s="8"/>
    </row>
    <row r="196" spans="2:3" x14ac:dyDescent="0.25">
      <c r="B196" s="1" t="s">
        <v>107</v>
      </c>
      <c r="C196" s="14" t="s">
        <v>92</v>
      </c>
    </row>
    <row r="197" spans="2:3" hidden="1" x14ac:dyDescent="0.25">
      <c r="C197" s="8" t="s">
        <v>108</v>
      </c>
    </row>
    <row r="198" spans="2:3" hidden="1" x14ac:dyDescent="0.25">
      <c r="C198" s="8" t="s">
        <v>92</v>
      </c>
    </row>
    <row r="199" spans="2:3" x14ac:dyDescent="0.25">
      <c r="B199" s="1" t="s">
        <v>109</v>
      </c>
      <c r="C199" s="14" t="s">
        <v>110</v>
      </c>
    </row>
    <row r="200" spans="2:3" hidden="1" x14ac:dyDescent="0.25">
      <c r="C200" s="8" t="s">
        <v>110</v>
      </c>
    </row>
    <row r="201" spans="2:3" hidden="1" x14ac:dyDescent="0.25">
      <c r="C201" s="5" t="s">
        <v>195</v>
      </c>
    </row>
    <row r="202" spans="2:3" x14ac:dyDescent="0.25">
      <c r="B202" s="1" t="s">
        <v>111</v>
      </c>
      <c r="C202" s="14" t="s">
        <v>112</v>
      </c>
    </row>
    <row r="203" spans="2:3" hidden="1" x14ac:dyDescent="0.25">
      <c r="C203" s="8" t="s">
        <v>113</v>
      </c>
    </row>
    <row r="204" spans="2:3" hidden="1" x14ac:dyDescent="0.25">
      <c r="C204" s="8" t="s">
        <v>114</v>
      </c>
    </row>
    <row r="205" spans="2:3" hidden="1" x14ac:dyDescent="0.25">
      <c r="C205" s="8" t="s">
        <v>115</v>
      </c>
    </row>
    <row r="206" spans="2:3" hidden="1" x14ac:dyDescent="0.25">
      <c r="C206" s="8" t="s">
        <v>112</v>
      </c>
    </row>
    <row r="207" spans="2:3" hidden="1" x14ac:dyDescent="0.25">
      <c r="C207" s="8" t="s">
        <v>116</v>
      </c>
    </row>
    <row r="208" spans="2:3" hidden="1" x14ac:dyDescent="0.25">
      <c r="C208" s="8" t="s">
        <v>42</v>
      </c>
    </row>
    <row r="209" spans="1:3" x14ac:dyDescent="0.25">
      <c r="B209" s="1" t="s">
        <v>117</v>
      </c>
      <c r="C209" s="14" t="s">
        <v>118</v>
      </c>
    </row>
    <row r="210" spans="1:3" hidden="1" x14ac:dyDescent="0.25">
      <c r="C210" s="8" t="s">
        <v>113</v>
      </c>
    </row>
    <row r="211" spans="1:3" hidden="1" x14ac:dyDescent="0.25">
      <c r="C211" s="8" t="s">
        <v>119</v>
      </c>
    </row>
    <row r="212" spans="1:3" hidden="1" x14ac:dyDescent="0.25">
      <c r="C212" s="8" t="s">
        <v>118</v>
      </c>
    </row>
    <row r="213" spans="1:3" hidden="1" x14ac:dyDescent="0.25">
      <c r="C213" s="8" t="s">
        <v>120</v>
      </c>
    </row>
    <row r="214" spans="1:3" hidden="1" x14ac:dyDescent="0.25">
      <c r="C214" s="8" t="s">
        <v>42</v>
      </c>
    </row>
    <row r="215" spans="1:3" hidden="1" x14ac:dyDescent="0.25"/>
    <row r="216" spans="1:3" hidden="1" x14ac:dyDescent="0.25"/>
    <row r="219" spans="1:3" x14ac:dyDescent="0.25">
      <c r="A219" s="1" t="s">
        <v>122</v>
      </c>
      <c r="B219" s="1" t="s">
        <v>123</v>
      </c>
    </row>
    <row r="221" spans="1:3" x14ac:dyDescent="0.25">
      <c r="B221" s="1" t="s">
        <v>124</v>
      </c>
      <c r="C221" s="12" t="s">
        <v>196</v>
      </c>
    </row>
    <row r="223" spans="1:3" x14ac:dyDescent="0.25">
      <c r="B223" s="1" t="s">
        <v>125</v>
      </c>
      <c r="C223" s="12" t="s">
        <v>196</v>
      </c>
    </row>
    <row r="225" spans="2:3" x14ac:dyDescent="0.25">
      <c r="B225" s="1" t="s">
        <v>126</v>
      </c>
      <c r="C225" s="12" t="s">
        <v>196</v>
      </c>
    </row>
    <row r="227" spans="2:3" x14ac:dyDescent="0.25">
      <c r="B227" s="1" t="s">
        <v>127</v>
      </c>
      <c r="C227" s="14" t="s">
        <v>181</v>
      </c>
    </row>
    <row r="228" spans="2:3" hidden="1" x14ac:dyDescent="0.25">
      <c r="C228" s="12" t="s">
        <v>179</v>
      </c>
    </row>
    <row r="229" spans="2:3" hidden="1" x14ac:dyDescent="0.25">
      <c r="C229" s="12" t="s">
        <v>180</v>
      </c>
    </row>
    <row r="230" spans="2:3" hidden="1" x14ac:dyDescent="0.25">
      <c r="C230" s="12" t="s">
        <v>181</v>
      </c>
    </row>
    <row r="231" spans="2:3" hidden="1" x14ac:dyDescent="0.25">
      <c r="C231" s="12" t="s">
        <v>182</v>
      </c>
    </row>
    <row r="232" spans="2:3" hidden="1" x14ac:dyDescent="0.25">
      <c r="C232" s="12" t="s">
        <v>183</v>
      </c>
    </row>
    <row r="233" spans="2:3" hidden="1" x14ac:dyDescent="0.25">
      <c r="C233" s="12" t="s">
        <v>184</v>
      </c>
    </row>
    <row r="234" spans="2:3" hidden="1" x14ac:dyDescent="0.25">
      <c r="C234" s="12" t="s">
        <v>128</v>
      </c>
    </row>
    <row r="237" spans="2:3" x14ac:dyDescent="0.25">
      <c r="B237" s="1" t="s">
        <v>129</v>
      </c>
      <c r="C237" s="12" t="s">
        <v>196</v>
      </c>
    </row>
    <row r="239" spans="2:3" x14ac:dyDescent="0.25">
      <c r="B239" s="1" t="s">
        <v>130</v>
      </c>
      <c r="C239" s="12" t="s">
        <v>196</v>
      </c>
    </row>
    <row r="241" spans="1:3" x14ac:dyDescent="0.25">
      <c r="B241" s="1" t="s">
        <v>131</v>
      </c>
      <c r="C241" s="12" t="s">
        <v>196</v>
      </c>
    </row>
    <row r="243" spans="1:3" x14ac:dyDescent="0.25">
      <c r="B243" s="1" t="s">
        <v>132</v>
      </c>
      <c r="C243" s="12" t="s">
        <v>196</v>
      </c>
    </row>
    <row r="245" spans="1:3" x14ac:dyDescent="0.25">
      <c r="B245" s="1" t="s">
        <v>133</v>
      </c>
      <c r="C245" s="14" t="s">
        <v>135</v>
      </c>
    </row>
    <row r="246" spans="1:3" hidden="1" x14ac:dyDescent="0.25">
      <c r="B246" s="5"/>
      <c r="C246" s="12" t="s">
        <v>135</v>
      </c>
    </row>
    <row r="247" spans="1:3" hidden="1" x14ac:dyDescent="0.25">
      <c r="C247" s="12" t="s">
        <v>134</v>
      </c>
    </row>
    <row r="248" spans="1:3" hidden="1" x14ac:dyDescent="0.25">
      <c r="C248" s="12" t="s">
        <v>136</v>
      </c>
    </row>
    <row r="250" spans="1:3" x14ac:dyDescent="0.25">
      <c r="B250" s="1" t="s">
        <v>137</v>
      </c>
      <c r="C250" s="12" t="s">
        <v>196</v>
      </c>
    </row>
    <row r="251" spans="1:3" x14ac:dyDescent="0.25">
      <c r="B251" s="5"/>
    </row>
    <row r="252" spans="1:3" x14ac:dyDescent="0.25">
      <c r="B252" s="1" t="s">
        <v>138</v>
      </c>
      <c r="C252" s="10">
        <v>0.02</v>
      </c>
    </row>
    <row r="255" spans="1:3" x14ac:dyDescent="0.25">
      <c r="A255" s="1" t="s">
        <v>161</v>
      </c>
      <c r="B255" s="1" t="s">
        <v>201</v>
      </c>
      <c r="C255" s="49" t="s">
        <v>202</v>
      </c>
    </row>
    <row r="256" spans="1:3" hidden="1" x14ac:dyDescent="0.25">
      <c r="C256" s="1" t="s">
        <v>203</v>
      </c>
    </row>
    <row r="257" spans="1:3" hidden="1" x14ac:dyDescent="0.25">
      <c r="C257" s="1" t="s">
        <v>204</v>
      </c>
    </row>
    <row r="258" spans="1:3" hidden="1" x14ac:dyDescent="0.25">
      <c r="C258" s="1" t="s">
        <v>205</v>
      </c>
    </row>
    <row r="259" spans="1:3" hidden="1" x14ac:dyDescent="0.25">
      <c r="C259" s="1" t="s">
        <v>202</v>
      </c>
    </row>
    <row r="262" spans="1:3" x14ac:dyDescent="0.25">
      <c r="A262" s="7" t="s">
        <v>139</v>
      </c>
    </row>
    <row r="264" spans="1:3" x14ac:dyDescent="0.25">
      <c r="A264" s="1" t="s">
        <v>140</v>
      </c>
      <c r="B264" s="1" t="s">
        <v>141</v>
      </c>
      <c r="C264" s="12" t="str">
        <f>C28</f>
        <v>[bedrag invullen]</v>
      </c>
    </row>
    <row r="266" spans="1:3" x14ac:dyDescent="0.25">
      <c r="B266" s="1" t="s">
        <v>142</v>
      </c>
      <c r="C266" s="12" t="str">
        <f>IF(C30=C31,"JA","NEE")</f>
        <v>JA</v>
      </c>
    </row>
    <row r="268" spans="1:3" x14ac:dyDescent="0.25">
      <c r="B268" s="1" t="s">
        <v>143</v>
      </c>
      <c r="C268" s="12" t="str">
        <f>IF(C30=C32,"JA","NEE")</f>
        <v>NEE</v>
      </c>
    </row>
    <row r="270" spans="1:3" x14ac:dyDescent="0.25">
      <c r="A270" s="1" t="s">
        <v>14</v>
      </c>
      <c r="B270" s="1" t="s">
        <v>144</v>
      </c>
      <c r="C270" s="12" t="str">
        <f>C35</f>
        <v>[bedrag invullen]</v>
      </c>
    </row>
    <row r="272" spans="1:3" x14ac:dyDescent="0.25">
      <c r="B272" s="1" t="s">
        <v>142</v>
      </c>
      <c r="C272" s="12" t="str">
        <f>IF(C37=C38,"JA","NEE")</f>
        <v>NEE</v>
      </c>
    </row>
    <row r="274" spans="1:3" x14ac:dyDescent="0.25">
      <c r="B274" s="1" t="s">
        <v>143</v>
      </c>
      <c r="C274" s="12" t="str">
        <f>IF(C37=C39,"JA","NEE")</f>
        <v>JA</v>
      </c>
    </row>
    <row r="276" spans="1:3" x14ac:dyDescent="0.25">
      <c r="A276" s="1" t="s">
        <v>18</v>
      </c>
      <c r="B276" s="1" t="s">
        <v>145</v>
      </c>
      <c r="C276" s="12" t="str">
        <f>C42</f>
        <v>[bedrag invullen]</v>
      </c>
    </row>
    <row r="278" spans="1:3" x14ac:dyDescent="0.25">
      <c r="A278" s="1" t="s">
        <v>19</v>
      </c>
      <c r="B278" s="1" t="s">
        <v>146</v>
      </c>
      <c r="C278" s="10">
        <f>IF(C45="nieuwbouw",21%,0)+IF(C45="verbouwing 6%",6%,0)+IF(C45="speciaal tarief 12% (vb. bejaardentehuis)",12%,0)</f>
        <v>0.21</v>
      </c>
    </row>
    <row r="280" spans="1:3" x14ac:dyDescent="0.25">
      <c r="A280" s="1" t="s">
        <v>22</v>
      </c>
      <c r="B280" s="1" t="s">
        <v>147</v>
      </c>
      <c r="C280" s="12" t="str">
        <f>C48</f>
        <v>[bedrag invullen]</v>
      </c>
    </row>
    <row r="282" spans="1:3" x14ac:dyDescent="0.25">
      <c r="A282" s="1" t="s">
        <v>23</v>
      </c>
      <c r="B282" s="1" t="s">
        <v>24</v>
      </c>
      <c r="C282" s="19">
        <f>IF(C51="Vlaanderen",10%,0)+IF(C51="Brussels Hoofdstedelijk Gewest",12.5%,0)+IF(C51="Wallonië",12.5%,0)</f>
        <v>0.1</v>
      </c>
    </row>
    <row r="284" spans="1:3" x14ac:dyDescent="0.25">
      <c r="A284" s="1" t="s">
        <v>29</v>
      </c>
      <c r="B284" s="1" t="s">
        <v>292</v>
      </c>
      <c r="C284" s="12" t="str">
        <f>C58</f>
        <v>[bedrag invullen]</v>
      </c>
    </row>
    <row r="286" spans="1:3" x14ac:dyDescent="0.25">
      <c r="A286" s="1" t="s">
        <v>30</v>
      </c>
      <c r="B286" s="1" t="s">
        <v>207</v>
      </c>
      <c r="C286" s="12">
        <v>1100</v>
      </c>
    </row>
    <row r="288" spans="1:3" x14ac:dyDescent="0.25">
      <c r="A288" s="1" t="s">
        <v>148</v>
      </c>
      <c r="B288" s="1" t="s">
        <v>208</v>
      </c>
      <c r="C288" s="12">
        <v>220</v>
      </c>
    </row>
    <row r="290" spans="1:3" x14ac:dyDescent="0.25">
      <c r="A290" s="1" t="s">
        <v>33</v>
      </c>
      <c r="B290" s="1" t="s">
        <v>149</v>
      </c>
      <c r="C290" s="8" t="str">
        <f>C292</f>
        <v>JA</v>
      </c>
    </row>
    <row r="291" spans="1:3" x14ac:dyDescent="0.25">
      <c r="C291" s="8"/>
    </row>
    <row r="292" spans="1:3" hidden="1" x14ac:dyDescent="0.25">
      <c r="B292" s="4" t="str">
        <f>C62</f>
        <v>btw-plichtige met gedeeltelijk recht op aftrek</v>
      </c>
      <c r="C292" s="8" t="str">
        <f>VLOOKUP(B292,B294:C297,2,FALSE)</f>
        <v>JA</v>
      </c>
    </row>
    <row r="293" spans="1:3" hidden="1" x14ac:dyDescent="0.25">
      <c r="C293" s="8"/>
    </row>
    <row r="294" spans="1:3" hidden="1" x14ac:dyDescent="0.25">
      <c r="B294" s="1" t="str">
        <f>C63</f>
        <v>btw-plichtige met volledig recht op aftrek</v>
      </c>
      <c r="C294" s="8" t="s">
        <v>297</v>
      </c>
    </row>
    <row r="295" spans="1:3" hidden="1" x14ac:dyDescent="0.25">
      <c r="B295" s="1" t="str">
        <f t="shared" ref="B295:B297" si="0">C64</f>
        <v>btw-plichtige met gedeeltelijk recht op aftrek</v>
      </c>
      <c r="C295" s="8" t="s">
        <v>297</v>
      </c>
    </row>
    <row r="296" spans="1:3" hidden="1" x14ac:dyDescent="0.25">
      <c r="B296" s="1" t="str">
        <f t="shared" si="0"/>
        <v>btw-plichtige zonder recht op aftrek</v>
      </c>
      <c r="C296" s="8" t="s">
        <v>298</v>
      </c>
    </row>
    <row r="297" spans="1:3" hidden="1" x14ac:dyDescent="0.25">
      <c r="B297" s="1" t="str">
        <f t="shared" si="0"/>
        <v>geen btw-plichtige</v>
      </c>
      <c r="C297" s="8" t="s">
        <v>298</v>
      </c>
    </row>
    <row r="298" spans="1:3" hidden="1" x14ac:dyDescent="0.25">
      <c r="C298" s="8"/>
    </row>
    <row r="299" spans="1:3" hidden="1" x14ac:dyDescent="0.25">
      <c r="C299" s="8"/>
    </row>
    <row r="300" spans="1:3" hidden="1" x14ac:dyDescent="0.25"/>
    <row r="301" spans="1:3" x14ac:dyDescent="0.25">
      <c r="A301" s="1" t="s">
        <v>150</v>
      </c>
      <c r="B301" s="1" t="s">
        <v>288</v>
      </c>
      <c r="C301" s="10">
        <f>C303</f>
        <v>0</v>
      </c>
    </row>
    <row r="302" spans="1:3" x14ac:dyDescent="0.25">
      <c r="C302" s="10"/>
    </row>
    <row r="303" spans="1:3" hidden="1" x14ac:dyDescent="0.25">
      <c r="B303" s="4" t="str">
        <f>C62</f>
        <v>btw-plichtige met gedeeltelijk recht op aftrek</v>
      </c>
      <c r="C303" s="10">
        <f>VLOOKUP(B303,B305:E308,4,FALSE)</f>
        <v>0</v>
      </c>
    </row>
    <row r="304" spans="1:3" hidden="1" x14ac:dyDescent="0.25">
      <c r="C304" s="10"/>
    </row>
    <row r="305" spans="2:5" hidden="1" x14ac:dyDescent="0.25">
      <c r="B305" s="1" t="str">
        <f>C63</f>
        <v>btw-plichtige met volledig recht op aftrek</v>
      </c>
      <c r="C305" s="18">
        <v>1</v>
      </c>
      <c r="D305" s="29">
        <f>D310</f>
        <v>0</v>
      </c>
      <c r="E305" s="3">
        <f>C305*D305</f>
        <v>0</v>
      </c>
    </row>
    <row r="306" spans="2:5" hidden="1" x14ac:dyDescent="0.25">
      <c r="B306" s="1" t="str">
        <f>C64</f>
        <v>btw-plichtige met gedeeltelijk recht op aftrek</v>
      </c>
      <c r="C306" s="18">
        <f>C68</f>
        <v>0</v>
      </c>
      <c r="D306" s="29">
        <f>D310</f>
        <v>0</v>
      </c>
      <c r="E306" s="3">
        <f t="shared" ref="E306:E308" si="1">C306*D306</f>
        <v>0</v>
      </c>
    </row>
    <row r="307" spans="2:5" hidden="1" x14ac:dyDescent="0.25">
      <c r="B307" s="1" t="str">
        <f>C65</f>
        <v>btw-plichtige zonder recht op aftrek</v>
      </c>
      <c r="C307" s="18">
        <v>0</v>
      </c>
      <c r="D307" s="29">
        <f>D310</f>
        <v>0</v>
      </c>
      <c r="E307" s="3">
        <f t="shared" si="1"/>
        <v>0</v>
      </c>
    </row>
    <row r="308" spans="2:5" hidden="1" x14ac:dyDescent="0.25">
      <c r="B308" s="1" t="str">
        <f>C66</f>
        <v>geen btw-plichtige</v>
      </c>
      <c r="C308" s="18">
        <v>0</v>
      </c>
      <c r="D308" s="29">
        <f>D310</f>
        <v>0</v>
      </c>
      <c r="E308" s="3">
        <f t="shared" si="1"/>
        <v>0</v>
      </c>
    </row>
    <row r="309" spans="2:5" hidden="1" x14ac:dyDescent="0.25">
      <c r="C309" s="10"/>
    </row>
    <row r="310" spans="2:5" hidden="1" x14ac:dyDescent="0.25">
      <c r="B310" s="1" t="str">
        <f>B143</f>
        <v>Wat is de bestemming van het onroerend goed?</v>
      </c>
      <c r="C310" s="4" t="str">
        <f>C143</f>
        <v>Verhuur per week, maand, etc. aan derden/vreemden</v>
      </c>
      <c r="D310" s="29">
        <f>VLOOKUP(C310,C311:D314,2,FALSE)</f>
        <v>0</v>
      </c>
    </row>
    <row r="311" spans="2:5" hidden="1" x14ac:dyDescent="0.25">
      <c r="C311" s="10" t="str">
        <f>C144</f>
        <v>Eigen gebruik</v>
      </c>
      <c r="D311" s="29">
        <v>1</v>
      </c>
    </row>
    <row r="312" spans="2:5" hidden="1" x14ac:dyDescent="0.25">
      <c r="C312" s="10" t="str">
        <f>C145</f>
        <v>Verhuur op jaarbasis aan derden/vreemden</v>
      </c>
      <c r="D312" s="29">
        <f>D317</f>
        <v>0</v>
      </c>
    </row>
    <row r="313" spans="2:5" hidden="1" x14ac:dyDescent="0.25">
      <c r="C313" s="10" t="str">
        <f>C146</f>
        <v>Verhuur per week, maand, etc. aan derden/vreemden</v>
      </c>
      <c r="D313" s="29">
        <f>D317</f>
        <v>0</v>
      </c>
    </row>
    <row r="314" spans="2:5" hidden="1" x14ac:dyDescent="0.25">
      <c r="C314" s="10" t="str">
        <f>C147</f>
        <v>Ter beschikking stelling aan verbonden partij (= verhuur aan groepsvennootschap, voordeel van alle aard zaakvoerder, etc.)</v>
      </c>
      <c r="D314" s="29">
        <f>D317</f>
        <v>0</v>
      </c>
    </row>
    <row r="315" spans="2:5" hidden="1" x14ac:dyDescent="0.25">
      <c r="C315" s="10"/>
      <c r="D315" s="29"/>
    </row>
    <row r="316" spans="2:5" hidden="1" x14ac:dyDescent="0.25">
      <c r="C316" s="10"/>
      <c r="D316" s="29"/>
    </row>
    <row r="317" spans="2:5" hidden="1" x14ac:dyDescent="0.25">
      <c r="C317" s="53" t="str">
        <f>C149</f>
        <v>Verhuur/terbeschikkingstelling vrijgesteld van btw</v>
      </c>
      <c r="D317" s="29">
        <f>VLOOKUP(C317,C318:D319,2,FALSE)</f>
        <v>0</v>
      </c>
    </row>
    <row r="318" spans="2:5" hidden="1" x14ac:dyDescent="0.25">
      <c r="C318" s="10" t="str">
        <f>C150</f>
        <v>Verhuur/terbeschikkingstelling vrijgesteld van btw</v>
      </c>
      <c r="D318" s="29">
        <v>0</v>
      </c>
    </row>
    <row r="319" spans="2:5" hidden="1" x14ac:dyDescent="0.25">
      <c r="C319" s="10" t="str">
        <f>C151</f>
        <v>Verhuur/terbeschikkingstelling onder van btw (btw-leasing, verhuur opslagplaats, btw-eenheid met recht op aftrek, optie btw, etc.)</v>
      </c>
      <c r="D319" s="29">
        <v>1</v>
      </c>
    </row>
    <row r="320" spans="2:5" hidden="1" x14ac:dyDescent="0.25"/>
    <row r="321" spans="1:3" x14ac:dyDescent="0.25">
      <c r="A321" s="1" t="s">
        <v>47</v>
      </c>
      <c r="B321" s="1" t="s">
        <v>151</v>
      </c>
      <c r="C321" s="12">
        <f>C71</f>
        <v>20</v>
      </c>
    </row>
    <row r="323" spans="1:3" x14ac:dyDescent="0.25">
      <c r="A323" s="1" t="s">
        <v>51</v>
      </c>
      <c r="B323" s="1" t="s">
        <v>152</v>
      </c>
      <c r="C323" s="26" t="s">
        <v>206</v>
      </c>
    </row>
    <row r="324" spans="1:3" x14ac:dyDescent="0.25">
      <c r="C324" s="10"/>
    </row>
    <row r="325" spans="1:3" x14ac:dyDescent="0.25">
      <c r="A325" s="1" t="s">
        <v>153</v>
      </c>
      <c r="B325" s="1" t="s">
        <v>154</v>
      </c>
      <c r="C325" s="26" t="s">
        <v>206</v>
      </c>
    </row>
    <row r="327" spans="1:3" x14ac:dyDescent="0.25">
      <c r="A327" s="1" t="s">
        <v>63</v>
      </c>
      <c r="B327" s="1" t="s">
        <v>155</v>
      </c>
      <c r="C327" s="10">
        <v>0.01</v>
      </c>
    </row>
    <row r="329" spans="1:3" x14ac:dyDescent="0.25">
      <c r="A329" s="1" t="s">
        <v>74</v>
      </c>
      <c r="B329" s="1" t="s">
        <v>156</v>
      </c>
      <c r="C329" s="12" t="str">
        <f>C164</f>
        <v>[vul bedrag in (desnoods bij te sturen na eerste proefdraai van de berekening)]</v>
      </c>
    </row>
    <row r="331" spans="1:3" x14ac:dyDescent="0.25">
      <c r="A331" s="1" t="s">
        <v>79</v>
      </c>
      <c r="B331" s="1" t="s">
        <v>157</v>
      </c>
      <c r="C331" s="10" t="str">
        <f>C166</f>
        <v>[vul percentage op jaarbasis in]</v>
      </c>
    </row>
    <row r="333" spans="1:3" x14ac:dyDescent="0.25">
      <c r="A333" s="1" t="s">
        <v>86</v>
      </c>
      <c r="B333" s="1" t="s">
        <v>158</v>
      </c>
      <c r="C333" s="12" t="str">
        <f>C165</f>
        <v>[vul aantal jaren afbetaling in van krediet]</v>
      </c>
    </row>
    <row r="335" spans="1:3" x14ac:dyDescent="0.25">
      <c r="A335" s="1" t="s">
        <v>93</v>
      </c>
      <c r="B335" s="1" t="s">
        <v>159</v>
      </c>
      <c r="C335" s="12" t="str">
        <f>C192</f>
        <v>[vul bedrag in (desnoods bij te sturen na eerste proefdraai van de berekening)]</v>
      </c>
    </row>
    <row r="337" spans="1:5" x14ac:dyDescent="0.25">
      <c r="A337" s="1" t="s">
        <v>98</v>
      </c>
      <c r="B337" s="1" t="s">
        <v>160</v>
      </c>
      <c r="C337" s="10" t="str">
        <f>C194</f>
        <v>[vul percentage op jaarbasis in]</v>
      </c>
    </row>
    <row r="339" spans="1:5" x14ac:dyDescent="0.25">
      <c r="A339" s="1" t="s">
        <v>122</v>
      </c>
      <c r="B339" s="1" t="s">
        <v>158</v>
      </c>
      <c r="C339" s="12" t="str">
        <f>C193</f>
        <v>[vul aantal jaren afbetaling in van krediet]</v>
      </c>
    </row>
    <row r="341" spans="1:5" x14ac:dyDescent="0.25">
      <c r="A341" s="1" t="s">
        <v>161</v>
      </c>
      <c r="B341" s="1" t="s">
        <v>124</v>
      </c>
      <c r="C341" s="18">
        <f>C343</f>
        <v>0.2</v>
      </c>
    </row>
    <row r="343" spans="1:5" s="5" customFormat="1" hidden="1" x14ac:dyDescent="0.25">
      <c r="B343" s="4" t="str">
        <f>C125</f>
        <v>Bestaand gebouw (ca. + 20 jaar) - goed onderhouden of renovatie na aanvang vruchtgebruik</v>
      </c>
      <c r="C343" s="19">
        <f>VLOOKUP(B343,B345:C350,2,FALSE)</f>
        <v>0.2</v>
      </c>
      <c r="E343" s="9"/>
    </row>
    <row r="344" spans="1:5" s="5" customFormat="1" hidden="1" x14ac:dyDescent="0.25">
      <c r="C344" s="8"/>
      <c r="E344" s="9"/>
    </row>
    <row r="345" spans="1:5" s="5" customFormat="1" hidden="1" x14ac:dyDescent="0.25">
      <c r="B345" s="5" t="str">
        <f t="shared" ref="B345:B350" si="2">C126</f>
        <v>Nieuwbouw (standaard)</v>
      </c>
      <c r="C345" s="19">
        <v>0.15</v>
      </c>
      <c r="E345" s="9"/>
    </row>
    <row r="346" spans="1:5" s="5" customFormat="1" hidden="1" x14ac:dyDescent="0.25">
      <c r="B346" s="5" t="str">
        <f t="shared" si="2"/>
        <v>Nieuwbouw (met extreme duurzaamheid qua materialen en eco-technologie (e-peil, k-peil, etc.))</v>
      </c>
      <c r="C346" s="19">
        <v>0.1</v>
      </c>
      <c r="E346" s="9"/>
    </row>
    <row r="347" spans="1:5" s="5" customFormat="1" hidden="1" x14ac:dyDescent="0.25">
      <c r="B347" s="5" t="str">
        <f t="shared" si="2"/>
        <v>Bestaand gebouw (ca. + 20 jaar) - goed onderhouden of renovatie na aanvang vruchtgebruik</v>
      </c>
      <c r="C347" s="19">
        <v>0.2</v>
      </c>
      <c r="E347" s="9"/>
    </row>
    <row r="348" spans="1:5" s="5" customFormat="1" hidden="1" x14ac:dyDescent="0.25">
      <c r="B348" s="5" t="str">
        <f t="shared" si="2"/>
        <v>Bestaand gebouw (ca. + 20 jaar) - aan renovatie toe (op later tijdstip)</v>
      </c>
      <c r="C348" s="19">
        <v>0.25</v>
      </c>
      <c r="E348" s="9"/>
    </row>
    <row r="349" spans="1:5" s="5" customFormat="1" hidden="1" x14ac:dyDescent="0.25">
      <c r="B349" s="5" t="str">
        <f t="shared" si="2"/>
        <v>Bestaand gebouw - structurele renovatie vereist (op later tijdstip)</v>
      </c>
      <c r="C349" s="19">
        <v>0.25</v>
      </c>
      <c r="E349" s="9"/>
    </row>
    <row r="350" spans="1:5" s="5" customFormat="1" hidden="1" x14ac:dyDescent="0.25">
      <c r="B350" s="5" t="str">
        <f t="shared" si="2"/>
        <v>Bestaand gebouw - afbraak gepland (minstens tegen einddatum vruchtgebruik)</v>
      </c>
      <c r="C350" s="19">
        <v>0.25</v>
      </c>
      <c r="E350" s="9"/>
    </row>
    <row r="351" spans="1:5" s="5" customFormat="1" hidden="1" x14ac:dyDescent="0.25">
      <c r="C351" s="8"/>
      <c r="E351" s="9"/>
    </row>
    <row r="352" spans="1:5" hidden="1" x14ac:dyDescent="0.25"/>
    <row r="353" spans="1:5" x14ac:dyDescent="0.25">
      <c r="A353" s="1" t="s">
        <v>162</v>
      </c>
      <c r="B353" s="1" t="s">
        <v>125</v>
      </c>
      <c r="C353" s="18">
        <f>C355</f>
        <v>0.1</v>
      </c>
    </row>
    <row r="355" spans="1:5" hidden="1" x14ac:dyDescent="0.25">
      <c r="B355" s="4" t="str">
        <f>C143</f>
        <v>Verhuur per week, maand, etc. aan derden/vreemden</v>
      </c>
      <c r="C355" s="18">
        <f>VLOOKUP(B355,B357:C360,2,FALSE)</f>
        <v>0.1</v>
      </c>
    </row>
    <row r="356" spans="1:5" s="5" customFormat="1" hidden="1" x14ac:dyDescent="0.25">
      <c r="C356" s="8"/>
      <c r="E356" s="9"/>
    </row>
    <row r="357" spans="1:5" s="5" customFormat="1" hidden="1" x14ac:dyDescent="0.25">
      <c r="B357" s="5" t="str">
        <f>C144</f>
        <v>Eigen gebruik</v>
      </c>
      <c r="C357" s="19">
        <v>0</v>
      </c>
      <c r="E357" s="9"/>
    </row>
    <row r="358" spans="1:5" s="5" customFormat="1" hidden="1" x14ac:dyDescent="0.25">
      <c r="B358" s="5" t="str">
        <f>C145</f>
        <v>Verhuur op jaarbasis aan derden/vreemden</v>
      </c>
      <c r="C358" s="19">
        <v>0.05</v>
      </c>
      <c r="E358" s="9"/>
    </row>
    <row r="359" spans="1:5" hidden="1" x14ac:dyDescent="0.25">
      <c r="B359" s="5" t="str">
        <f>C146</f>
        <v>Verhuur per week, maand, etc. aan derden/vreemden</v>
      </c>
      <c r="C359" s="18">
        <v>0.1</v>
      </c>
    </row>
    <row r="360" spans="1:5" hidden="1" x14ac:dyDescent="0.25">
      <c r="B360" s="5" t="str">
        <f>C147</f>
        <v>Ter beschikking stelling aan verbonden partij (= verhuur aan groepsvennootschap, voordeel van alle aard zaakvoerder, etc.)</v>
      </c>
      <c r="C360" s="18">
        <v>0</v>
      </c>
    </row>
    <row r="361" spans="1:5" hidden="1" x14ac:dyDescent="0.25"/>
    <row r="362" spans="1:5" hidden="1" x14ac:dyDescent="0.25"/>
    <row r="363" spans="1:5" x14ac:dyDescent="0.25">
      <c r="A363" s="1" t="s">
        <v>163</v>
      </c>
      <c r="B363" s="1" t="s">
        <v>164</v>
      </c>
      <c r="C363" s="18">
        <f>C365</f>
        <v>0</v>
      </c>
    </row>
    <row r="365" spans="1:5" hidden="1" x14ac:dyDescent="0.25">
      <c r="B365" s="4" t="str">
        <f>B355</f>
        <v>Verhuur per week, maand, etc. aan derden/vreemden</v>
      </c>
      <c r="C365" s="18">
        <f>VLOOKUP(B365,B367:C370,2,FALSE)</f>
        <v>0</v>
      </c>
    </row>
    <row r="366" spans="1:5" hidden="1" x14ac:dyDescent="0.25">
      <c r="C366" s="8"/>
    </row>
    <row r="367" spans="1:5" hidden="1" x14ac:dyDescent="0.25">
      <c r="B367" s="1" t="str">
        <f>B357</f>
        <v>Eigen gebruik</v>
      </c>
      <c r="C367" s="19">
        <v>0.1</v>
      </c>
    </row>
    <row r="368" spans="1:5" hidden="1" x14ac:dyDescent="0.25">
      <c r="B368" s="1" t="str">
        <f t="shared" ref="B368:B370" si="3">B358</f>
        <v>Verhuur op jaarbasis aan derden/vreemden</v>
      </c>
      <c r="C368" s="19">
        <v>0</v>
      </c>
    </row>
    <row r="369" spans="1:3" hidden="1" x14ac:dyDescent="0.25">
      <c r="B369" s="1" t="str">
        <f t="shared" si="3"/>
        <v>Verhuur per week, maand, etc. aan derden/vreemden</v>
      </c>
      <c r="C369" s="18">
        <v>0</v>
      </c>
    </row>
    <row r="370" spans="1:3" hidden="1" x14ac:dyDescent="0.25">
      <c r="B370" s="1" t="str">
        <f t="shared" si="3"/>
        <v>Ter beschikking stelling aan verbonden partij (= verhuur aan groepsvennootschap, voordeel van alle aard zaakvoerder, etc.)</v>
      </c>
      <c r="C370" s="18">
        <v>0</v>
      </c>
    </row>
    <row r="371" spans="1:3" hidden="1" x14ac:dyDescent="0.25"/>
    <row r="372" spans="1:3" ht="13.9" hidden="1" customHeight="1" x14ac:dyDescent="0.25"/>
    <row r="373" spans="1:3" ht="13.9" customHeight="1" x14ac:dyDescent="0.25">
      <c r="A373" s="1" t="s">
        <v>165</v>
      </c>
      <c r="B373" s="1" t="s">
        <v>127</v>
      </c>
      <c r="C373" s="20">
        <f>C375</f>
        <v>2</v>
      </c>
    </row>
    <row r="374" spans="1:3" ht="13.9" customHeight="1" x14ac:dyDescent="0.25">
      <c r="C374" s="20"/>
    </row>
    <row r="375" spans="1:3" ht="13.9" hidden="1" customHeight="1" x14ac:dyDescent="0.25">
      <c r="B375" s="4" t="str">
        <f>C227</f>
        <v>nieuwbouw/renovatie: binnen 2 jaar na de aankoop van de site zal deze in gebruik kunnen genomen worden</v>
      </c>
      <c r="C375" s="20">
        <f>VLOOKUP(B375,B377:C383,2,FALSE)</f>
        <v>2</v>
      </c>
    </row>
    <row r="376" spans="1:3" ht="13.9" hidden="1" customHeight="1" x14ac:dyDescent="0.25">
      <c r="C376" s="8"/>
    </row>
    <row r="377" spans="1:3" ht="13.9" hidden="1" customHeight="1" x14ac:dyDescent="0.25">
      <c r="B377" s="1" t="str">
        <f t="shared" ref="B377:B383" si="4">C228</f>
        <v>geen nieuwbouw / bestaande woning zonder renovatie</v>
      </c>
      <c r="C377" s="20">
        <v>0</v>
      </c>
    </row>
    <row r="378" spans="1:3" ht="13.9" hidden="1" customHeight="1" x14ac:dyDescent="0.25">
      <c r="B378" s="1" t="str">
        <f t="shared" si="4"/>
        <v>nieuwbouw/renovatie: binnen 1 jaar na de aankoop van de site zal deze in gebruik kunnen genomen worden</v>
      </c>
      <c r="C378" s="20">
        <v>1</v>
      </c>
    </row>
    <row r="379" spans="1:3" ht="13.9" hidden="1" customHeight="1" x14ac:dyDescent="0.25">
      <c r="B379" s="1" t="str">
        <f t="shared" si="4"/>
        <v>nieuwbouw/renovatie: binnen 2 jaar na de aankoop van de site zal deze in gebruik kunnen genomen worden</v>
      </c>
      <c r="C379" s="21">
        <v>2</v>
      </c>
    </row>
    <row r="380" spans="1:3" ht="13.9" hidden="1" customHeight="1" x14ac:dyDescent="0.25">
      <c r="B380" s="1" t="str">
        <f t="shared" si="4"/>
        <v>nieuwbouw/renovatie: binnen 3 jaar na de aankoop van de site zal deze in gebruik kunnen genomen worden</v>
      </c>
      <c r="C380" s="21">
        <v>3</v>
      </c>
    </row>
    <row r="381" spans="1:3" ht="13.9" hidden="1" customHeight="1" x14ac:dyDescent="0.25">
      <c r="B381" s="1" t="str">
        <f t="shared" si="4"/>
        <v>nieuwbouw/renovatie: binnen 4 jaar na de aankoop van de site zal deze in gebruik kunnen genomen worden</v>
      </c>
      <c r="C381" s="21">
        <v>4</v>
      </c>
    </row>
    <row r="382" spans="1:3" ht="13.9" hidden="1" customHeight="1" x14ac:dyDescent="0.25">
      <c r="B382" s="1" t="str">
        <f t="shared" si="4"/>
        <v>nieuwbouw/renovatie: binnen 5 jaar na de aankoop van de site zal deze in gebruik kunnen genomen worden</v>
      </c>
      <c r="C382" s="21">
        <v>5</v>
      </c>
    </row>
    <row r="383" spans="1:3" ht="13.9" hidden="1" customHeight="1" x14ac:dyDescent="0.25">
      <c r="B383" s="1" t="str">
        <f t="shared" si="4"/>
        <v>bouw - of andere grond: nog geen bouwplannen</v>
      </c>
      <c r="C383" s="21">
        <v>0</v>
      </c>
    </row>
    <row r="384" spans="1:3" ht="13.9" hidden="1" customHeight="1" x14ac:dyDescent="0.25"/>
    <row r="385" spans="1:5" ht="13.9" hidden="1" customHeight="1" x14ac:dyDescent="0.25"/>
    <row r="386" spans="1:5" ht="13.9" customHeight="1" x14ac:dyDescent="0.25">
      <c r="A386" s="1" t="s">
        <v>166</v>
      </c>
      <c r="B386" s="1" t="s">
        <v>129</v>
      </c>
      <c r="C386" s="18">
        <f>C388</f>
        <v>0.04</v>
      </c>
    </row>
    <row r="387" spans="1:5" ht="13.9" customHeight="1" x14ac:dyDescent="0.25"/>
    <row r="388" spans="1:5" ht="13.9" hidden="1" customHeight="1" x14ac:dyDescent="0.25">
      <c r="B388" s="4" t="str">
        <f>C134</f>
        <v>Geen bijzonderheden</v>
      </c>
      <c r="C388" s="18">
        <f>VLOOKUP(B388,B390:C394,2,FALSE)</f>
        <v>0.04</v>
      </c>
    </row>
    <row r="389" spans="1:5" ht="13.9" hidden="1" customHeight="1" x14ac:dyDescent="0.25">
      <c r="C389" s="8"/>
    </row>
    <row r="390" spans="1:5" ht="13.9" hidden="1" customHeight="1" x14ac:dyDescent="0.25">
      <c r="B390" s="1" t="str">
        <f>C136</f>
        <v>Grond met speciale/exclusieve ligging (op zeedijk, in centrum, in exclusieve wijk, etc.)</v>
      </c>
      <c r="C390" s="19">
        <v>0.05</v>
      </c>
    </row>
    <row r="391" spans="1:5" ht="13.9" hidden="1" customHeight="1" x14ac:dyDescent="0.25">
      <c r="B391" s="1" t="str">
        <f>C137</f>
        <v>Grond met beperkingen (vb. bodemverontreiniging, beperkende stedenbouwkundige voorwaarden, etc.)</v>
      </c>
      <c r="C391" s="18">
        <v>-0.01</v>
      </c>
    </row>
    <row r="392" spans="1:5" ht="13.9" hidden="1" customHeight="1" x14ac:dyDescent="0.25">
      <c r="B392" s="1" t="str">
        <f>C138</f>
        <v>Grond met lagere waarde (vb. landbouwwaarde, mindere ligging, etc.)</v>
      </c>
      <c r="C392" s="18">
        <v>0.02</v>
      </c>
    </row>
    <row r="393" spans="1:5" ht="13.9" hidden="1" customHeight="1" x14ac:dyDescent="0.25">
      <c r="B393" s="1" t="str">
        <f>C139</f>
        <v>Projectgrond</v>
      </c>
      <c r="C393" s="19">
        <v>0.06</v>
      </c>
    </row>
    <row r="394" spans="1:5" ht="13.9" hidden="1" customHeight="1" x14ac:dyDescent="0.25">
      <c r="B394" s="1" t="str">
        <f>C140</f>
        <v>Geen bijzonderheden</v>
      </c>
      <c r="C394" s="18">
        <v>0.04</v>
      </c>
    </row>
    <row r="395" spans="1:5" ht="13.9" hidden="1" customHeight="1" x14ac:dyDescent="0.25"/>
    <row r="396" spans="1:5" ht="13.9" hidden="1" customHeight="1" x14ac:dyDescent="0.25"/>
    <row r="397" spans="1:5" ht="13.9" hidden="1" customHeight="1" x14ac:dyDescent="0.25"/>
    <row r="398" spans="1:5" ht="13.9" customHeight="1" x14ac:dyDescent="0.25">
      <c r="A398" s="1" t="s">
        <v>167</v>
      </c>
      <c r="B398" s="1" t="s">
        <v>130</v>
      </c>
      <c r="C398" s="18">
        <f>C400</f>
        <v>0.8</v>
      </c>
    </row>
    <row r="399" spans="1:5" ht="13.9" customHeight="1" x14ac:dyDescent="0.25"/>
    <row r="400" spans="1:5" ht="13.9" hidden="1" customHeight="1" x14ac:dyDescent="0.25">
      <c r="B400" s="4" t="str">
        <f>C125</f>
        <v>Bestaand gebouw (ca. + 20 jaar) - goed onderhouden of renovatie na aanvang vruchtgebruik</v>
      </c>
      <c r="C400" s="18">
        <f>VLOOKUP(B400,B402:C407,2,FALSE)</f>
        <v>0.8</v>
      </c>
      <c r="D400" s="1" t="str">
        <f>"# jaren"</f>
        <v># jaren</v>
      </c>
      <c r="E400" s="2" t="s">
        <v>185</v>
      </c>
    </row>
    <row r="401" spans="1:5" ht="13.9" hidden="1" customHeight="1" x14ac:dyDescent="0.25"/>
    <row r="402" spans="1:5" ht="13.9" hidden="1" customHeight="1" x14ac:dyDescent="0.25">
      <c r="B402" s="1" t="str">
        <f t="shared" ref="B402:B407" si="5">C126</f>
        <v>Nieuwbouw (standaard)</v>
      </c>
      <c r="C402" s="18">
        <f>1-(D402*E402)</f>
        <v>0.85</v>
      </c>
      <c r="D402" s="1">
        <f>C321</f>
        <v>20</v>
      </c>
      <c r="E402" s="3">
        <v>7.4999999999999997E-3</v>
      </c>
    </row>
    <row r="403" spans="1:5" ht="13.9" hidden="1" customHeight="1" x14ac:dyDescent="0.25">
      <c r="B403" s="1" t="str">
        <f t="shared" si="5"/>
        <v>Nieuwbouw (met extreme duurzaamheid qua materialen en eco-technologie (e-peil, k-peil, etc.))</v>
      </c>
      <c r="C403" s="18">
        <f t="shared" ref="C403:C406" si="6">1-(D403*E403)</f>
        <v>0.94</v>
      </c>
      <c r="D403" s="1">
        <f>D402</f>
        <v>20</v>
      </c>
      <c r="E403" s="3">
        <v>3.0000000000000001E-3</v>
      </c>
    </row>
    <row r="404" spans="1:5" ht="13.9" hidden="1" customHeight="1" x14ac:dyDescent="0.25">
      <c r="B404" s="1" t="str">
        <f t="shared" si="5"/>
        <v>Bestaand gebouw (ca. + 20 jaar) - goed onderhouden of renovatie na aanvang vruchtgebruik</v>
      </c>
      <c r="C404" s="18">
        <f t="shared" si="6"/>
        <v>0.8</v>
      </c>
      <c r="D404" s="1">
        <f t="shared" ref="D404:D407" si="7">D403</f>
        <v>20</v>
      </c>
      <c r="E404" s="3">
        <v>0.01</v>
      </c>
    </row>
    <row r="405" spans="1:5" ht="13.9" hidden="1" customHeight="1" x14ac:dyDescent="0.25">
      <c r="B405" s="1" t="str">
        <f t="shared" si="5"/>
        <v>Bestaand gebouw (ca. + 20 jaar) - aan renovatie toe (op later tijdstip)</v>
      </c>
      <c r="C405" s="18">
        <f t="shared" si="6"/>
        <v>0.7</v>
      </c>
      <c r="D405" s="1">
        <f t="shared" si="7"/>
        <v>20</v>
      </c>
      <c r="E405" s="3">
        <v>1.4999999999999999E-2</v>
      </c>
    </row>
    <row r="406" spans="1:5" ht="13.9" hidden="1" customHeight="1" x14ac:dyDescent="0.25">
      <c r="B406" s="1" t="str">
        <f t="shared" si="5"/>
        <v>Bestaand gebouw - structurele renovatie vereist (op later tijdstip)</v>
      </c>
      <c r="C406" s="18">
        <f t="shared" si="6"/>
        <v>0.6</v>
      </c>
      <c r="D406" s="1">
        <f t="shared" si="7"/>
        <v>20</v>
      </c>
      <c r="E406" s="3">
        <v>0.02</v>
      </c>
    </row>
    <row r="407" spans="1:5" ht="13.9" hidden="1" customHeight="1" x14ac:dyDescent="0.25">
      <c r="B407" s="1" t="str">
        <f t="shared" si="5"/>
        <v>Bestaand gebouw - afbraak gepland (minstens tegen einddatum vruchtgebruik)</v>
      </c>
      <c r="C407" s="18">
        <v>0</v>
      </c>
      <c r="D407" s="1">
        <f t="shared" si="7"/>
        <v>20</v>
      </c>
      <c r="E407" s="3"/>
    </row>
    <row r="408" spans="1:5" ht="13.9" hidden="1" customHeight="1" x14ac:dyDescent="0.25">
      <c r="C408" s="18"/>
      <c r="E408" s="3"/>
    </row>
    <row r="409" spans="1:5" ht="13.9" hidden="1" customHeight="1" x14ac:dyDescent="0.25">
      <c r="C409" s="18"/>
      <c r="E409" s="3"/>
    </row>
    <row r="410" spans="1:5" ht="13.9" hidden="1" customHeight="1" x14ac:dyDescent="0.25">
      <c r="C410" s="18"/>
      <c r="E410" s="3"/>
    </row>
    <row r="411" spans="1:5" hidden="1" x14ac:dyDescent="0.25"/>
    <row r="412" spans="1:5" x14ac:dyDescent="0.25">
      <c r="A412" s="1" t="s">
        <v>168</v>
      </c>
      <c r="B412" s="1" t="s">
        <v>169</v>
      </c>
      <c r="C412" s="18">
        <f>C414</f>
        <v>0.8</v>
      </c>
    </row>
    <row r="414" spans="1:5" hidden="1" x14ac:dyDescent="0.25">
      <c r="B414" s="4" t="str">
        <f>C113</f>
        <v>Pand met dubbel gebruik (beroep + privé - vb. praktijkwoning arts)</v>
      </c>
      <c r="C414" s="18">
        <f>VLOOKUP(B414,B416:C424,2,FALSE)</f>
        <v>0.8</v>
      </c>
      <c r="D414" s="1" t="str">
        <f>"# jaren"</f>
        <v># jaren</v>
      </c>
      <c r="E414" s="2" t="s">
        <v>185</v>
      </c>
    </row>
    <row r="415" spans="1:5" hidden="1" x14ac:dyDescent="0.25"/>
    <row r="416" spans="1:5" hidden="1" x14ac:dyDescent="0.25">
      <c r="B416" s="1" t="str">
        <f t="shared" ref="B416:B424" si="8">C114</f>
        <v>Braakliggende grond</v>
      </c>
      <c r="C416" s="12" t="s">
        <v>189</v>
      </c>
      <c r="D416" s="1">
        <f>D407</f>
        <v>20</v>
      </c>
    </row>
    <row r="417" spans="1:5" hidden="1" x14ac:dyDescent="0.25">
      <c r="B417" s="1" t="str">
        <f t="shared" si="8"/>
        <v>Grond met bestaande gebouwen/constructies om af te breken</v>
      </c>
      <c r="C417" s="12" t="str">
        <f>C416</f>
        <v>ad hoc beoordeling (contact met helpdesk mogelijk)</v>
      </c>
      <c r="D417" s="1">
        <f>D416</f>
        <v>20</v>
      </c>
    </row>
    <row r="418" spans="1:5" hidden="1" x14ac:dyDescent="0.25">
      <c r="B418" s="1" t="str">
        <f t="shared" si="8"/>
        <v>Grond /site met bepaalde problemen (vb. bodemverontreiniging)</v>
      </c>
      <c r="C418" s="18" t="str">
        <f>C417</f>
        <v>ad hoc beoordeling (contact met helpdesk mogelijk)</v>
      </c>
      <c r="D418" s="1">
        <f t="shared" ref="D418:D424" si="9">D417</f>
        <v>20</v>
      </c>
      <c r="E418" s="3"/>
    </row>
    <row r="419" spans="1:5" hidden="1" x14ac:dyDescent="0.25">
      <c r="B419" s="1" t="str">
        <f t="shared" si="8"/>
        <v>Appartement</v>
      </c>
      <c r="C419" s="18">
        <f>MIN(100%,ROUND((D419*E419),2))</f>
        <v>0.67</v>
      </c>
      <c r="D419" s="1">
        <f t="shared" si="9"/>
        <v>20</v>
      </c>
      <c r="E419" s="3">
        <f>1/30</f>
        <v>3.3333333333333333E-2</v>
      </c>
    </row>
    <row r="420" spans="1:5" hidden="1" x14ac:dyDescent="0.25">
      <c r="B420" s="1" t="str">
        <f t="shared" si="8"/>
        <v>Villa</v>
      </c>
      <c r="C420" s="18">
        <f t="shared" ref="C420:C423" si="10">MIN(100%,ROUND((D420*E420),2))</f>
        <v>0.67</v>
      </c>
      <c r="D420" s="1">
        <f t="shared" si="9"/>
        <v>20</v>
      </c>
      <c r="E420" s="3">
        <f>1/30</f>
        <v>3.3333333333333333E-2</v>
      </c>
    </row>
    <row r="421" spans="1:5" hidden="1" x14ac:dyDescent="0.25">
      <c r="B421" s="1" t="str">
        <f t="shared" si="8"/>
        <v>Pand met dubbel gebruik (beroep + privé - vb. praktijkwoning arts)</v>
      </c>
      <c r="C421" s="18">
        <f t="shared" si="10"/>
        <v>0.8</v>
      </c>
      <c r="D421" s="1">
        <f t="shared" si="9"/>
        <v>20</v>
      </c>
      <c r="E421" s="3">
        <f>1/25</f>
        <v>0.04</v>
      </c>
    </row>
    <row r="422" spans="1:5" hidden="1" x14ac:dyDescent="0.25">
      <c r="B422" s="1" t="str">
        <f t="shared" si="8"/>
        <v>Kantoor - commercieel</v>
      </c>
      <c r="C422" s="18">
        <f t="shared" si="10"/>
        <v>1</v>
      </c>
      <c r="D422" s="1">
        <f t="shared" si="9"/>
        <v>20</v>
      </c>
      <c r="E422" s="3">
        <f>1/20</f>
        <v>0.05</v>
      </c>
    </row>
    <row r="423" spans="1:5" hidden="1" x14ac:dyDescent="0.25">
      <c r="B423" s="1" t="str">
        <f t="shared" si="8"/>
        <v>Fabriekspand</v>
      </c>
      <c r="C423" s="18">
        <f t="shared" si="10"/>
        <v>0.4</v>
      </c>
      <c r="D423" s="1">
        <f t="shared" si="9"/>
        <v>20</v>
      </c>
      <c r="E423" s="3">
        <f>1/50</f>
        <v>0.02</v>
      </c>
    </row>
    <row r="424" spans="1:5" hidden="1" x14ac:dyDescent="0.25">
      <c r="B424" s="1" t="str">
        <f t="shared" si="8"/>
        <v>Andere</v>
      </c>
      <c r="C424" s="12" t="str">
        <f>C417</f>
        <v>ad hoc beoordeling (contact met helpdesk mogelijk)</v>
      </c>
      <c r="D424" s="1">
        <f t="shared" si="9"/>
        <v>20</v>
      </c>
      <c r="E424" s="3"/>
    </row>
    <row r="425" spans="1:5" hidden="1" x14ac:dyDescent="0.25"/>
    <row r="426" spans="1:5" hidden="1" x14ac:dyDescent="0.25"/>
    <row r="427" spans="1:5" hidden="1" x14ac:dyDescent="0.25"/>
    <row r="428" spans="1:5" x14ac:dyDescent="0.25">
      <c r="A428" s="1" t="s">
        <v>170</v>
      </c>
      <c r="B428" s="1" t="s">
        <v>132</v>
      </c>
      <c r="C428" s="18">
        <v>0.01</v>
      </c>
    </row>
    <row r="429" spans="1:5" x14ac:dyDescent="0.25">
      <c r="C429" s="18"/>
    </row>
    <row r="430" spans="1:5" hidden="1" x14ac:dyDescent="0.25"/>
    <row r="431" spans="1:5" x14ac:dyDescent="0.25">
      <c r="A431" s="1" t="s">
        <v>171</v>
      </c>
      <c r="B431" s="1" t="s">
        <v>172</v>
      </c>
      <c r="C431" s="18">
        <f>IF(C437=2,20%,0%)</f>
        <v>0</v>
      </c>
    </row>
    <row r="432" spans="1:5" x14ac:dyDescent="0.25">
      <c r="C432" s="18"/>
    </row>
    <row r="433" spans="1:3" hidden="1" x14ac:dyDescent="0.25">
      <c r="B433" s="1" t="str">
        <f>B245</f>
        <v>Wie neemt de kosten van grove herstellingen voor zijn rekening (vb. nieuw dak, nieuwe centrale verwarming, etc.)</v>
      </c>
      <c r="C433" s="18" t="str">
        <f>C245</f>
        <v>vruchtgebruiker (100%)</v>
      </c>
    </row>
    <row r="434" spans="1:3" hidden="1" x14ac:dyDescent="0.25">
      <c r="C434" s="27">
        <f>IF(C433="vruchtgebruiker (100%)",1,0)</f>
        <v>1</v>
      </c>
    </row>
    <row r="435" spans="1:3" hidden="1" x14ac:dyDescent="0.25">
      <c r="B435" s="1" t="s">
        <v>210</v>
      </c>
      <c r="C435" s="27">
        <f>C71</f>
        <v>20</v>
      </c>
    </row>
    <row r="436" spans="1:3" hidden="1" x14ac:dyDescent="0.25">
      <c r="C436" s="27">
        <f>IF(C435&gt;20,1,0)</f>
        <v>0</v>
      </c>
    </row>
    <row r="437" spans="1:3" hidden="1" x14ac:dyDescent="0.25">
      <c r="C437" s="27">
        <f>C434+C436</f>
        <v>1</v>
      </c>
    </row>
    <row r="438" spans="1:3" hidden="1" x14ac:dyDescent="0.25">
      <c r="C438" s="18"/>
    </row>
    <row r="439" spans="1:3" hidden="1" x14ac:dyDescent="0.25"/>
    <row r="440" spans="1:3" x14ac:dyDescent="0.25">
      <c r="A440" s="1" t="s">
        <v>173</v>
      </c>
      <c r="B440" s="1" t="s">
        <v>174</v>
      </c>
      <c r="C440" s="12">
        <f>IF(C437=2,20,0)</f>
        <v>0</v>
      </c>
    </row>
    <row r="442" spans="1:3" x14ac:dyDescent="0.25">
      <c r="A442" s="1" t="s">
        <v>175</v>
      </c>
      <c r="B442" s="1" t="s">
        <v>138</v>
      </c>
      <c r="C442" s="18">
        <v>0.02</v>
      </c>
    </row>
    <row r="445" spans="1:3" x14ac:dyDescent="0.25">
      <c r="A445" s="7" t="s">
        <v>278</v>
      </c>
    </row>
    <row r="448" spans="1:3" x14ac:dyDescent="0.25">
      <c r="A448" s="7" t="s">
        <v>279</v>
      </c>
    </row>
    <row r="450" spans="2:3" x14ac:dyDescent="0.25">
      <c r="B450" s="1" t="s">
        <v>176</v>
      </c>
      <c r="C450" s="1"/>
    </row>
    <row r="451" spans="2:3" x14ac:dyDescent="0.25">
      <c r="B451" s="1" t="s">
        <v>177</v>
      </c>
      <c r="C451" s="1"/>
    </row>
    <row r="452" spans="2:3" x14ac:dyDescent="0.25">
      <c r="B452" s="1" t="s">
        <v>212</v>
      </c>
      <c r="C452" s="1"/>
    </row>
    <row r="453" spans="2:3" x14ac:dyDescent="0.25">
      <c r="C453" s="1"/>
    </row>
    <row r="454" spans="2:3" x14ac:dyDescent="0.25">
      <c r="B454" s="1" t="s">
        <v>280</v>
      </c>
      <c r="C454" s="1"/>
    </row>
    <row r="455" spans="2:3" x14ac:dyDescent="0.25">
      <c r="C455" s="1"/>
    </row>
    <row r="456" spans="2:3" x14ac:dyDescent="0.25">
      <c r="C456" s="1"/>
    </row>
    <row r="457" spans="2:3" x14ac:dyDescent="0.25">
      <c r="C457" s="1"/>
    </row>
    <row r="458" spans="2:3" x14ac:dyDescent="0.25">
      <c r="C458" s="1"/>
    </row>
    <row r="459" spans="2:3" x14ac:dyDescent="0.25">
      <c r="C459" s="1"/>
    </row>
    <row r="460" spans="2:3" x14ac:dyDescent="0.25">
      <c r="C460" s="1"/>
    </row>
    <row r="461" spans="2:3" x14ac:dyDescent="0.25">
      <c r="C461" s="1"/>
    </row>
    <row r="462" spans="2:3" x14ac:dyDescent="0.25">
      <c r="C462" s="1"/>
    </row>
    <row r="463" spans="2:3" x14ac:dyDescent="0.25">
      <c r="C463" s="1"/>
    </row>
    <row r="464" spans="2:3" x14ac:dyDescent="0.25">
      <c r="C464" s="1"/>
    </row>
    <row r="465" spans="2:24" ht="21" x14ac:dyDescent="0.35">
      <c r="B465" s="55" t="s">
        <v>301</v>
      </c>
      <c r="C465" s="1"/>
    </row>
    <row r="466" spans="2:24" hidden="1" x14ac:dyDescent="0.25">
      <c r="C466" s="1"/>
    </row>
    <row r="467" spans="2:24" hidden="1" x14ac:dyDescent="0.25">
      <c r="B467" s="23" t="s">
        <v>266</v>
      </c>
      <c r="C467" s="1">
        <f>MAX(D661:X661)</f>
        <v>7</v>
      </c>
    </row>
    <row r="468" spans="2:24" x14ac:dyDescent="0.25">
      <c r="B468" s="23"/>
      <c r="C468" s="1"/>
    </row>
    <row r="469" spans="2:24" s="2" customFormat="1" x14ac:dyDescent="0.25">
      <c r="B469" s="45"/>
      <c r="D469" s="2" t="str">
        <f>IF($D$582&lt;=$C$467,D548," ")</f>
        <v>Keuzemogelijkheid 1</v>
      </c>
      <c r="F469" s="2" t="str">
        <f>IF($F$582&lt;=$C$467,F548," ")</f>
        <v>Keuzemogelijkheid 2</v>
      </c>
      <c r="H469" s="2" t="str">
        <f>IF($H$582&lt;=$C$467,H548," ")</f>
        <v>Keuzemogelijkheid 3</v>
      </c>
      <c r="J469" s="2" t="str">
        <f>IF($J$582&lt;=$C$467,J548," ")</f>
        <v>Keuzemogelijkheid 4</v>
      </c>
      <c r="L469" s="2" t="str">
        <f>IF($L$582&lt;=$C$467,L548," ")</f>
        <v>Keuzemogelijkheid 5</v>
      </c>
      <c r="N469" s="2" t="str">
        <f>IF($N$582&lt;=$C$467,N548," ")</f>
        <v>Keuzemogelijkheid 6</v>
      </c>
      <c r="P469" s="2" t="str">
        <f>IF($P$582&lt;=$C$467,P548," ")</f>
        <v>Keuzemogelijkheid 7</v>
      </c>
      <c r="R469" s="2" t="str">
        <f>IF($R$582&lt;=$C$467,R548," ")</f>
        <v xml:space="preserve"> </v>
      </c>
      <c r="T469" s="2" t="str">
        <f>IF($T$582&lt;=$C$467,T548," ")</f>
        <v xml:space="preserve"> </v>
      </c>
      <c r="V469" s="2" t="str">
        <f>IF($V$582&lt;=$C$467,V548," ")</f>
        <v xml:space="preserve"> </v>
      </c>
      <c r="X469" s="2" t="str">
        <f>IF($X$582&lt;=$C$467,X548," ")</f>
        <v xml:space="preserve"> </v>
      </c>
    </row>
    <row r="470" spans="2:24" x14ac:dyDescent="0.25">
      <c r="C470" s="1"/>
    </row>
    <row r="471" spans="2:24" x14ac:dyDescent="0.25">
      <c r="B471" s="1" t="s">
        <v>224</v>
      </c>
      <c r="C471" s="1"/>
      <c r="D471" s="1">
        <f>IF($D$582&lt;=$C$467,D550," ")</f>
        <v>1</v>
      </c>
      <c r="F471" s="1">
        <f>IF($F$582&lt;=$C$467,F550," ")</f>
        <v>0</v>
      </c>
      <c r="H471" s="1">
        <f>IF($H$582&lt;=$C$467,H550," ")</f>
        <v>0</v>
      </c>
      <c r="J471" s="1">
        <f>IF($J$582&lt;=$C$467,J550," ")</f>
        <v>0</v>
      </c>
      <c r="L471" s="1">
        <f>IF($L$582&lt;=$C$467,L550," ")</f>
        <v>1</v>
      </c>
      <c r="N471" s="1">
        <f>IF($N$582&lt;=$C$467,N550," ")</f>
        <v>0</v>
      </c>
      <c r="P471" s="1">
        <f>IF($P$582&lt;=$C$467,P550," ")</f>
        <v>1</v>
      </c>
      <c r="R471" s="1" t="str">
        <f>IF($R$582&lt;=$C$467,R550," ")</f>
        <v xml:space="preserve"> </v>
      </c>
      <c r="T471" s="1" t="str">
        <f>IF($T$582&lt;=$C$467,T550," ")</f>
        <v xml:space="preserve"> </v>
      </c>
      <c r="V471" s="1" t="str">
        <f>IF($V$582&lt;=$C$467,V550," ")</f>
        <v xml:space="preserve"> </v>
      </c>
      <c r="X471" s="1" t="str">
        <f>IF($X$582&lt;=$C$467,X550," ")</f>
        <v xml:space="preserve"> </v>
      </c>
    </row>
    <row r="472" spans="2:24" x14ac:dyDescent="0.25">
      <c r="C472" s="1"/>
    </row>
    <row r="473" spans="2:24" x14ac:dyDescent="0.25">
      <c r="B473" s="1" t="s">
        <v>225</v>
      </c>
      <c r="C473" s="1"/>
      <c r="D473" s="1">
        <f>IF($D$582&lt;=$C$467,D552," ")</f>
        <v>1</v>
      </c>
      <c r="F473" s="1">
        <f>IF($F$582&lt;=$C$467,F552," ")</f>
        <v>0</v>
      </c>
      <c r="H473" s="1">
        <f>IF($H$582&lt;=$C$467,H552," ")</f>
        <v>1</v>
      </c>
      <c r="J473" s="1">
        <f>IF($J$582&lt;=$C$467,J552," ")</f>
        <v>1</v>
      </c>
      <c r="L473" s="1">
        <f>IF($L$582&lt;=$C$467,L552," ")</f>
        <v>0</v>
      </c>
      <c r="N473" s="1">
        <f>IF($N$582&lt;=$C$467,N552," ")</f>
        <v>1</v>
      </c>
      <c r="P473" s="1">
        <f>IF($P$582&lt;=$C$467,P552," ")</f>
        <v>0</v>
      </c>
      <c r="R473" s="1" t="str">
        <f>IF($R$582&lt;=$C$467,R552," ")</f>
        <v xml:space="preserve"> </v>
      </c>
      <c r="T473" s="1" t="str">
        <f>IF($T$582&lt;=$C$467,T552," ")</f>
        <v xml:space="preserve"> </v>
      </c>
      <c r="V473" s="1" t="str">
        <f>IF($V$582&lt;=$C$467,V552," ")</f>
        <v xml:space="preserve"> </v>
      </c>
      <c r="X473" s="1" t="str">
        <f>IF($X$582&lt;=$C$467,X552," ")</f>
        <v xml:space="preserve"> </v>
      </c>
    </row>
    <row r="474" spans="2:24" x14ac:dyDescent="0.25">
      <c r="C474" s="1"/>
    </row>
    <row r="475" spans="2:24" x14ac:dyDescent="0.25">
      <c r="B475" s="1" t="s">
        <v>226</v>
      </c>
      <c r="C475" s="1"/>
      <c r="D475" s="1">
        <f>IF($D$582&lt;=$C$467,D554," ")</f>
        <v>0</v>
      </c>
      <c r="F475" s="1">
        <f>IF($F$582&lt;=$C$467,F554," ")</f>
        <v>0</v>
      </c>
      <c r="H475" s="1">
        <f>IF($H$582&lt;=$C$467,H554," ")</f>
        <v>0</v>
      </c>
      <c r="J475" s="1">
        <f>IF($J$582&lt;=$C$467,J554," ")</f>
        <v>0</v>
      </c>
      <c r="L475" s="1">
        <f>IF($L$582&lt;=$C$467,L554," ")</f>
        <v>0</v>
      </c>
      <c r="N475" s="1">
        <f>IF($N$582&lt;=$C$467,N554," ")</f>
        <v>0</v>
      </c>
      <c r="P475" s="1">
        <f>IF($P$582&lt;=$C$467,P554," ")</f>
        <v>0</v>
      </c>
      <c r="R475" s="1" t="str">
        <f>IF($R$582&lt;=$C$467,R554," ")</f>
        <v xml:space="preserve"> </v>
      </c>
      <c r="T475" s="1" t="str">
        <f>IF($T$582&lt;=$C$467,T554," ")</f>
        <v xml:space="preserve"> </v>
      </c>
      <c r="V475" s="1" t="str">
        <f>IF($V$582&lt;=$C$467,V554," ")</f>
        <v xml:space="preserve"> </v>
      </c>
      <c r="X475" s="1" t="str">
        <f>IF($X$582&lt;=$C$467,X554," ")</f>
        <v xml:space="preserve"> </v>
      </c>
    </row>
    <row r="476" spans="2:24" x14ac:dyDescent="0.25">
      <c r="C476" s="1"/>
    </row>
    <row r="477" spans="2:24" x14ac:dyDescent="0.25">
      <c r="B477" s="1" t="s">
        <v>227</v>
      </c>
      <c r="C477" s="54" t="s">
        <v>294</v>
      </c>
      <c r="D477" s="1">
        <f>IF($D$582&lt;=$C$467,D556," ")</f>
        <v>0</v>
      </c>
      <c r="F477" s="1">
        <f>IF($F$582&lt;=$C$467,F556," ")</f>
        <v>0</v>
      </c>
      <c r="H477" s="1">
        <f>IF($H$582&lt;=$C$467,H556," ")</f>
        <v>0</v>
      </c>
      <c r="J477" s="1">
        <f>IF($J$582&lt;=$C$467,J556," ")</f>
        <v>0</v>
      </c>
      <c r="L477" s="1">
        <f>IF($L$582&lt;=$C$467,L556," ")</f>
        <v>0</v>
      </c>
      <c r="N477" s="1">
        <f>IF($N$582&lt;=$C$467,N556," ")</f>
        <v>0</v>
      </c>
      <c r="P477" s="1">
        <f>IF($P$582&lt;=$C$467,P556," ")</f>
        <v>0</v>
      </c>
      <c r="R477" s="1" t="str">
        <f>IF($R$582&lt;=$C$467,R556," ")</f>
        <v xml:space="preserve"> </v>
      </c>
      <c r="T477" s="1" t="str">
        <f>IF($T$582&lt;=$C$467,T556," ")</f>
        <v xml:space="preserve"> </v>
      </c>
      <c r="V477" s="1" t="str">
        <f>IF($V$582&lt;=$C$467,V556," ")</f>
        <v xml:space="preserve"> </v>
      </c>
      <c r="X477" s="1" t="str">
        <f>IF($X$582&lt;=$C$467,X556," ")</f>
        <v xml:space="preserve"> </v>
      </c>
    </row>
    <row r="478" spans="2:24" x14ac:dyDescent="0.25">
      <c r="C478" s="54" t="s">
        <v>295</v>
      </c>
    </row>
    <row r="479" spans="2:24" x14ac:dyDescent="0.25">
      <c r="B479" s="1" t="s">
        <v>228</v>
      </c>
      <c r="C479" s="54" t="s">
        <v>293</v>
      </c>
      <c r="D479" s="1">
        <f>IF($D$582&lt;=$C$467,D558," ")</f>
        <v>1</v>
      </c>
      <c r="F479" s="1">
        <f>IF($F$582&lt;=$C$467,F558," ")</f>
        <v>0</v>
      </c>
      <c r="H479" s="1">
        <f>IF($H$582&lt;=$C$467,H558," ")</f>
        <v>0</v>
      </c>
      <c r="J479" s="1">
        <f>IF($J$582&lt;=$C$467,J558," ")</f>
        <v>0</v>
      </c>
      <c r="L479" s="1">
        <f>IF($L$582&lt;=$C$467,L558," ")</f>
        <v>0</v>
      </c>
      <c r="N479" s="1">
        <f>IF($N$582&lt;=$C$467,N558," ")</f>
        <v>0</v>
      </c>
      <c r="P479" s="1">
        <f>IF($P$582&lt;=$C$467,P558," ")</f>
        <v>0</v>
      </c>
      <c r="R479" s="1" t="str">
        <f>IF($R$582&lt;=$C$467,R558," ")</f>
        <v xml:space="preserve"> </v>
      </c>
      <c r="T479" s="1" t="str">
        <f>IF($T$582&lt;=$C$467,T558," ")</f>
        <v xml:space="preserve"> </v>
      </c>
      <c r="V479" s="1" t="str">
        <f>IF($V$582&lt;=$C$467,V558," ")</f>
        <v xml:space="preserve"> </v>
      </c>
      <c r="X479" s="1" t="str">
        <f>IF($X$582&lt;=$C$467,X558," ")</f>
        <v xml:space="preserve"> </v>
      </c>
    </row>
    <row r="480" spans="2:24" x14ac:dyDescent="0.25">
      <c r="C480" s="1"/>
    </row>
    <row r="481" spans="2:24" x14ac:dyDescent="0.25">
      <c r="B481" s="1" t="s">
        <v>229</v>
      </c>
      <c r="C481" s="1"/>
      <c r="D481" s="1">
        <f>IF($D$582&lt;=$C$467,D560," ")</f>
        <v>1</v>
      </c>
      <c r="F481" s="1">
        <f>IF($F$582&lt;=$C$467,F560," ")</f>
        <v>0</v>
      </c>
      <c r="H481" s="1">
        <f>IF($H$582&lt;=$C$467,H560," ")</f>
        <v>1</v>
      </c>
      <c r="J481" s="1">
        <f>IF($J$582&lt;=$C$467,J560," ")</f>
        <v>0</v>
      </c>
      <c r="L481" s="1">
        <f>IF($L$582&lt;=$C$467,L560," ")</f>
        <v>0</v>
      </c>
      <c r="N481" s="1">
        <f>IF($N$582&lt;=$C$467,N560," ")</f>
        <v>1</v>
      </c>
      <c r="P481" s="1">
        <f>IF($P$582&lt;=$C$467,P560," ")</f>
        <v>1</v>
      </c>
      <c r="R481" s="1" t="str">
        <f>IF($R$582&lt;=$C$467,R560," ")</f>
        <v xml:space="preserve"> </v>
      </c>
      <c r="T481" s="1" t="str">
        <f>IF($T$582&lt;=$C$467,T560," ")</f>
        <v xml:space="preserve"> </v>
      </c>
      <c r="V481" s="1" t="str">
        <f>IF($V$582&lt;=$C$467,V560," ")</f>
        <v xml:space="preserve"> </v>
      </c>
      <c r="X481" s="1" t="str">
        <f>IF($X$582&lt;=$C$467,X560," ")</f>
        <v xml:space="preserve"> </v>
      </c>
    </row>
    <row r="482" spans="2:24" x14ac:dyDescent="0.25">
      <c r="C482" s="1"/>
    </row>
    <row r="483" spans="2:24" x14ac:dyDescent="0.25">
      <c r="B483" s="1" t="s">
        <v>230</v>
      </c>
      <c r="C483" s="1"/>
      <c r="D483" s="1">
        <f>IF($D$582&lt;=$C$467,D562," ")</f>
        <v>1</v>
      </c>
      <c r="F483" s="1">
        <f>IF($F$582&lt;=$C$467,F562," ")</f>
        <v>0</v>
      </c>
      <c r="H483" s="1">
        <f>IF($H$582&lt;=$C$467,H562," ")</f>
        <v>0</v>
      </c>
      <c r="J483" s="1">
        <f>IF($J$582&lt;=$C$467,J562," ")</f>
        <v>0</v>
      </c>
      <c r="L483" s="1">
        <f>IF($L$582&lt;=$C$467,L562," ")</f>
        <v>0</v>
      </c>
      <c r="N483" s="1">
        <f>IF($N$582&lt;=$C$467,N562," ")</f>
        <v>0</v>
      </c>
      <c r="P483" s="1">
        <f>IF($P$582&lt;=$C$467,P562," ")</f>
        <v>0</v>
      </c>
      <c r="R483" s="1" t="str">
        <f>IF($R$582&lt;=$C$467,R562," ")</f>
        <v xml:space="preserve"> </v>
      </c>
      <c r="T483" s="1" t="str">
        <f>IF($T$582&lt;=$C$467,T562," ")</f>
        <v xml:space="preserve"> </v>
      </c>
      <c r="V483" s="1" t="str">
        <f>IF($V$582&lt;=$C$467,V562," ")</f>
        <v xml:space="preserve"> </v>
      </c>
      <c r="X483" s="1" t="str">
        <f>IF($X$582&lt;=$C$467,X562," ")</f>
        <v xml:space="preserve"> </v>
      </c>
    </row>
    <row r="484" spans="2:24" x14ac:dyDescent="0.25">
      <c r="C484" s="1"/>
    </row>
    <row r="485" spans="2:24" x14ac:dyDescent="0.25">
      <c r="B485" s="1" t="s">
        <v>231</v>
      </c>
      <c r="C485" s="1"/>
      <c r="D485" s="1">
        <f>IF($D$582&lt;=$C$467,D564," ")</f>
        <v>0</v>
      </c>
      <c r="F485" s="1">
        <f>IF($F$582&lt;=$C$467,F564," ")</f>
        <v>0</v>
      </c>
      <c r="H485" s="1">
        <f>IF($H$582&lt;=$C$467,H564," ")</f>
        <v>0</v>
      </c>
      <c r="J485" s="1">
        <f>IF($J$582&lt;=$C$467,J564," ")</f>
        <v>0</v>
      </c>
      <c r="L485" s="1">
        <f>IF($L$582&lt;=$C$467,L564," ")</f>
        <v>0</v>
      </c>
      <c r="N485" s="1">
        <f>IF($N$582&lt;=$C$467,N564," ")</f>
        <v>0</v>
      </c>
      <c r="P485" s="1">
        <f>IF($P$582&lt;=$C$467,P564," ")</f>
        <v>0</v>
      </c>
      <c r="R485" s="1" t="str">
        <f>IF($R$582&lt;=$C$467,R564," ")</f>
        <v xml:space="preserve"> </v>
      </c>
      <c r="T485" s="1" t="str">
        <f>IF($T$582&lt;=$C$467,T564," ")</f>
        <v xml:space="preserve"> </v>
      </c>
      <c r="V485" s="1" t="str">
        <f>IF($V$582&lt;=$C$467,V564," ")</f>
        <v xml:space="preserve"> </v>
      </c>
      <c r="X485" s="1" t="str">
        <f>IF($X$582&lt;=$C$467,X564," ")</f>
        <v xml:space="preserve"> </v>
      </c>
    </row>
    <row r="486" spans="2:24" x14ac:dyDescent="0.25">
      <c r="C486" s="1"/>
    </row>
    <row r="487" spans="2:24" x14ac:dyDescent="0.25">
      <c r="B487" s="1" t="s">
        <v>232</v>
      </c>
      <c r="C487" s="1"/>
      <c r="D487" s="1">
        <f>IF($D$582&lt;=$C$467,D566," ")</f>
        <v>1</v>
      </c>
      <c r="F487" s="1">
        <f>IF($F$582&lt;=$C$467,F566," ")</f>
        <v>0</v>
      </c>
      <c r="H487" s="1">
        <f>IF($H$582&lt;=$C$467,H566," ")</f>
        <v>0</v>
      </c>
      <c r="J487" s="1">
        <f>IF($J$582&lt;=$C$467,J566," ")</f>
        <v>0</v>
      </c>
      <c r="L487" s="1">
        <f>IF($L$582&lt;=$C$467,L566," ")</f>
        <v>0</v>
      </c>
      <c r="N487" s="1">
        <f>IF($N$582&lt;=$C$467,N566," ")</f>
        <v>0</v>
      </c>
      <c r="P487" s="1">
        <f>IF($P$582&lt;=$C$467,P566," ")</f>
        <v>0</v>
      </c>
      <c r="R487" s="1" t="str">
        <f>IF($R$582&lt;=$C$467,R566," ")</f>
        <v xml:space="preserve"> </v>
      </c>
      <c r="T487" s="1" t="str">
        <f>IF($T$582&lt;=$C$467,T566," ")</f>
        <v xml:space="preserve"> </v>
      </c>
      <c r="V487" s="1" t="str">
        <f>IF($V$582&lt;=$C$467,V566," ")</f>
        <v xml:space="preserve"> </v>
      </c>
      <c r="X487" s="1" t="str">
        <f>IF($X$582&lt;=$C$467,X566," ")</f>
        <v xml:space="preserve"> </v>
      </c>
    </row>
    <row r="488" spans="2:24" x14ac:dyDescent="0.25">
      <c r="C488" s="1"/>
    </row>
    <row r="489" spans="2:24" x14ac:dyDescent="0.25">
      <c r="B489" s="1" t="s">
        <v>233</v>
      </c>
      <c r="C489" s="1"/>
      <c r="D489" s="1">
        <f>IF($D$582&lt;=$C$467,D568," ")</f>
        <v>1</v>
      </c>
      <c r="F489" s="1">
        <f>IF($F$582&lt;=$C$467,F568," ")</f>
        <v>1</v>
      </c>
      <c r="H489" s="1">
        <f>IF($H$582&lt;=$C$467,H568," ")</f>
        <v>1</v>
      </c>
      <c r="J489" s="1">
        <f>IF($J$582&lt;=$C$467,J568," ")</f>
        <v>0</v>
      </c>
      <c r="L489" s="1">
        <f>IF($L$582&lt;=$C$467,L568," ")</f>
        <v>0</v>
      </c>
      <c r="N489" s="1">
        <f>IF($N$582&lt;=$C$467,N568," ")</f>
        <v>0</v>
      </c>
      <c r="P489" s="1">
        <f>IF($P$582&lt;=$C$467,P568," ")</f>
        <v>0</v>
      </c>
      <c r="R489" s="1" t="str">
        <f>IF($R$582&lt;=$C$467,R568," ")</f>
        <v xml:space="preserve"> </v>
      </c>
      <c r="T489" s="1" t="str">
        <f>IF($T$582&lt;=$C$467,T568," ")</f>
        <v xml:space="preserve"> </v>
      </c>
      <c r="V489" s="1" t="str">
        <f>IF($V$582&lt;=$C$467,V568," ")</f>
        <v xml:space="preserve"> </v>
      </c>
      <c r="X489" s="1" t="str">
        <f>IF($X$582&lt;=$C$467,X568," ")</f>
        <v xml:space="preserve"> </v>
      </c>
    </row>
    <row r="490" spans="2:24" x14ac:dyDescent="0.25">
      <c r="C490" s="1"/>
    </row>
    <row r="491" spans="2:24" x14ac:dyDescent="0.25">
      <c r="B491" s="1" t="s">
        <v>234</v>
      </c>
      <c r="C491" s="1"/>
      <c r="D491" s="1">
        <f>IF($D$582&lt;=$C$467,D570," ")</f>
        <v>1</v>
      </c>
      <c r="F491" s="1">
        <f>IF($F$582&lt;=$C$467,F570," ")</f>
        <v>0</v>
      </c>
      <c r="H491" s="1">
        <f>IF($H$582&lt;=$C$467,H570," ")</f>
        <v>0</v>
      </c>
      <c r="J491" s="1">
        <f>IF($J$582&lt;=$C$467,J570," ")</f>
        <v>0</v>
      </c>
      <c r="L491" s="1">
        <f>IF($L$582&lt;=$C$467,L570," ")</f>
        <v>0</v>
      </c>
      <c r="N491" s="1">
        <f>IF($N$582&lt;=$C$467,N570," ")</f>
        <v>0</v>
      </c>
      <c r="P491" s="1">
        <f>IF($P$582&lt;=$C$467,P570," ")</f>
        <v>0</v>
      </c>
      <c r="R491" s="1" t="str">
        <f>IF($R$582&lt;=$C$467,R570," ")</f>
        <v xml:space="preserve"> </v>
      </c>
      <c r="T491" s="1" t="str">
        <f>IF($T$582&lt;=$C$467,T570," ")</f>
        <v xml:space="preserve"> </v>
      </c>
      <c r="V491" s="1" t="str">
        <f>IF($V$582&lt;=$C$467,V570," ")</f>
        <v xml:space="preserve"> </v>
      </c>
      <c r="X491" s="1" t="str">
        <f>IF($X$582&lt;=$C$467,X570," ")</f>
        <v xml:space="preserve"> </v>
      </c>
    </row>
    <row r="492" spans="2:24" x14ac:dyDescent="0.25">
      <c r="B492" s="40"/>
      <c r="C492" s="23"/>
    </row>
    <row r="493" spans="2:24" x14ac:dyDescent="0.25">
      <c r="C493" s="1"/>
    </row>
    <row r="494" spans="2:24" x14ac:dyDescent="0.25">
      <c r="C494" s="1"/>
    </row>
    <row r="495" spans="2:24" x14ac:dyDescent="0.25">
      <c r="C495" s="1"/>
    </row>
    <row r="496" spans="2:24" x14ac:dyDescent="0.25">
      <c r="C496" s="1"/>
    </row>
    <row r="497" spans="3:3" x14ac:dyDescent="0.25">
      <c r="C497" s="1"/>
    </row>
    <row r="498" spans="3:3" x14ac:dyDescent="0.25">
      <c r="C498" s="1"/>
    </row>
    <row r="499" spans="3:3" x14ac:dyDescent="0.25">
      <c r="C499" s="1"/>
    </row>
    <row r="500" spans="3:3" x14ac:dyDescent="0.25">
      <c r="C500" s="1"/>
    </row>
    <row r="501" spans="3:3" x14ac:dyDescent="0.25">
      <c r="C501" s="1"/>
    </row>
    <row r="502" spans="3:3" x14ac:dyDescent="0.25">
      <c r="C502" s="1"/>
    </row>
    <row r="503" spans="3:3" x14ac:dyDescent="0.25">
      <c r="C503" s="1"/>
    </row>
    <row r="504" spans="3:3" x14ac:dyDescent="0.25">
      <c r="C504" s="1"/>
    </row>
    <row r="505" spans="3:3" x14ac:dyDescent="0.25">
      <c r="C505" s="1"/>
    </row>
    <row r="506" spans="3:3" x14ac:dyDescent="0.25">
      <c r="C506" s="1"/>
    </row>
    <row r="507" spans="3:3" x14ac:dyDescent="0.25">
      <c r="C507" s="1"/>
    </row>
    <row r="508" spans="3:3" x14ac:dyDescent="0.25">
      <c r="C508" s="1"/>
    </row>
    <row r="509" spans="3:3" x14ac:dyDescent="0.25">
      <c r="C509" s="1"/>
    </row>
    <row r="510" spans="3:3" x14ac:dyDescent="0.25">
      <c r="C510" s="1"/>
    </row>
    <row r="511" spans="3:3" x14ac:dyDescent="0.25">
      <c r="C511" s="1"/>
    </row>
    <row r="512" spans="3:3" x14ac:dyDescent="0.25">
      <c r="C512" s="1"/>
    </row>
    <row r="513" spans="2:24" x14ac:dyDescent="0.25">
      <c r="C513" s="1"/>
    </row>
    <row r="514" spans="2:24" x14ac:dyDescent="0.25">
      <c r="C514" s="1"/>
    </row>
    <row r="515" spans="2:24" x14ac:dyDescent="0.25">
      <c r="C515" s="1"/>
    </row>
    <row r="516" spans="2:24" x14ac:dyDescent="0.25">
      <c r="C516" s="1"/>
    </row>
    <row r="517" spans="2:24" x14ac:dyDescent="0.25">
      <c r="C517" s="1"/>
    </row>
    <row r="518" spans="2:24" x14ac:dyDescent="0.25">
      <c r="C518" s="1"/>
    </row>
    <row r="519" spans="2:24" x14ac:dyDescent="0.25">
      <c r="C519" s="1"/>
    </row>
    <row r="520" spans="2:24" x14ac:dyDescent="0.25">
      <c r="C520" s="1"/>
    </row>
    <row r="521" spans="2:24" x14ac:dyDescent="0.25">
      <c r="C521" s="1"/>
    </row>
    <row r="522" spans="2:24" s="29" customFormat="1" x14ac:dyDescent="0.25">
      <c r="B522" s="30" t="s">
        <v>236</v>
      </c>
      <c r="C522" s="56" t="s">
        <v>296</v>
      </c>
      <c r="D522" s="29">
        <f>IF($D$582&lt;=$C$467,D573," ")</f>
        <v>0.04</v>
      </c>
      <c r="E522" s="3"/>
      <c r="F522" s="29">
        <f>IF($F$582&lt;=$C$467,F573," ")</f>
        <v>0.04</v>
      </c>
      <c r="H522" s="29" t="str">
        <f>IF($H$582&lt;=$C$467,H573," ")</f>
        <v>zie veld "commentaar"</v>
      </c>
      <c r="J522" s="29" t="str">
        <f>IF($J$582&lt;=$C$467,J573," ")</f>
        <v>zie veld "commentaar"</v>
      </c>
      <c r="L522" s="29" t="str">
        <f>IF($L$582&lt;=$C$467,L573," ")</f>
        <v>zie veld "commentaar"</v>
      </c>
      <c r="N522" s="29" t="str">
        <f>IF($N$582&lt;=$C$467,N573," ")</f>
        <v>zie veld "commentaar"</v>
      </c>
      <c r="P522" s="29" t="str">
        <f>IF($P$582&lt;=$C$467,P573," ")</f>
        <v>zie veld "commentaar"</v>
      </c>
      <c r="R522" s="29" t="str">
        <f>IF($R$582&lt;=$C$467,R573," ")</f>
        <v xml:space="preserve"> </v>
      </c>
      <c r="T522" s="29" t="str">
        <f>IF($T$582&lt;=$C$467,T573," ")</f>
        <v xml:space="preserve"> </v>
      </c>
      <c r="V522" s="29" t="str">
        <f>IF($V$582&lt;=$C$467,V573," ")</f>
        <v xml:space="preserve"> </v>
      </c>
      <c r="X522" s="29" t="str">
        <f>IF($X$582&lt;=$C$467,X573," ")</f>
        <v xml:space="preserve"> </v>
      </c>
    </row>
    <row r="523" spans="2:24" s="29" customFormat="1" x14ac:dyDescent="0.25">
      <c r="E523" s="3"/>
    </row>
    <row r="524" spans="2:24" s="29" customFormat="1" x14ac:dyDescent="0.25">
      <c r="B524" s="30" t="s">
        <v>238</v>
      </c>
      <c r="D524" s="29">
        <f>IF($D$582&lt;=$C$467,D575," ")</f>
        <v>0.04</v>
      </c>
      <c r="E524" s="3"/>
      <c r="F524" s="29">
        <f>IF($F$582&lt;=$C$467,F575," ")</f>
        <v>0.04</v>
      </c>
      <c r="H524" s="29" t="str">
        <f>IF($H$582&lt;=$C$467,H575," ")</f>
        <v>zie veld "commentaar"</v>
      </c>
      <c r="J524" s="29" t="str">
        <f>IF($J$582&lt;=$C$467,J575," ")</f>
        <v>zie veld "commentaar"</v>
      </c>
      <c r="L524" s="29" t="str">
        <f>IF($L$582&lt;=$C$467,L575," ")</f>
        <v>zie veld "commentaar"</v>
      </c>
      <c r="N524" s="29" t="str">
        <f>IF($N$582&lt;=$C$467,N575," ")</f>
        <v>zie veld "commentaar"</v>
      </c>
      <c r="P524" s="29" t="str">
        <f>IF($P$582&lt;=$C$467,P575," ")</f>
        <v>zie veld "commentaar"</v>
      </c>
      <c r="R524" s="29" t="str">
        <f>IF($R$582&lt;=$C$467,R575," ")</f>
        <v xml:space="preserve"> </v>
      </c>
      <c r="T524" s="29" t="str">
        <f>IF($T$582&lt;=$C$467,T575," ")</f>
        <v xml:space="preserve"> </v>
      </c>
      <c r="V524" s="29" t="str">
        <f>IF($V$582&lt;=$C$467,V575," ")</f>
        <v xml:space="preserve"> </v>
      </c>
      <c r="X524" s="29" t="str">
        <f>IF($X$582&lt;=$C$467,X575," ")</f>
        <v xml:space="preserve"> </v>
      </c>
    </row>
    <row r="525" spans="2:24" s="29" customFormat="1" x14ac:dyDescent="0.25">
      <c r="E525" s="3"/>
    </row>
    <row r="526" spans="2:24" s="29" customFormat="1" x14ac:dyDescent="0.25">
      <c r="B526" s="30" t="s">
        <v>155</v>
      </c>
      <c r="D526" s="29">
        <f>IF($D$582&lt;=$C$467,D577," ")</f>
        <v>0.01</v>
      </c>
      <c r="E526" s="3"/>
      <c r="F526" s="29">
        <f>IF($F$582&lt;=$C$467,F577," ")</f>
        <v>0.01</v>
      </c>
      <c r="H526" s="29" t="str">
        <f>IF($H$582&lt;=$C$467,H577," ")</f>
        <v>zie veld "commentaar"</v>
      </c>
      <c r="J526" s="29" t="str">
        <f>IF($J$582&lt;=$C$467,J577," ")</f>
        <v>zie veld "commentaar"</v>
      </c>
      <c r="L526" s="29" t="str">
        <f>IF($L$582&lt;=$C$467,L577," ")</f>
        <v>zie veld "commentaar"</v>
      </c>
      <c r="N526" s="29" t="str">
        <f>IF($N$582&lt;=$C$467,N577," ")</f>
        <v>zie veld "commentaar"</v>
      </c>
      <c r="P526" s="29" t="str">
        <f>IF($P$582&lt;=$C$467,P577," ")</f>
        <v>zie veld "commentaar"</v>
      </c>
      <c r="R526" s="29" t="str">
        <f>IF($R$582&lt;=$C$467,R577," ")</f>
        <v xml:space="preserve"> </v>
      </c>
      <c r="T526" s="29" t="str">
        <f>IF($T$582&lt;=$C$467,T577," ")</f>
        <v xml:space="preserve"> </v>
      </c>
      <c r="V526" s="29" t="str">
        <f>IF($V$582&lt;=$C$467,V577," ")</f>
        <v xml:space="preserve"> </v>
      </c>
      <c r="X526" s="29" t="str">
        <f>IF($X$582&lt;=$C$467,X577," ")</f>
        <v xml:space="preserve"> </v>
      </c>
    </row>
    <row r="527" spans="2:24" s="29" customFormat="1" x14ac:dyDescent="0.25">
      <c r="B527" s="30"/>
      <c r="E527" s="3"/>
    </row>
    <row r="528" spans="2:24" s="29" customFormat="1" x14ac:dyDescent="0.25">
      <c r="B528" s="30"/>
      <c r="E528" s="3"/>
    </row>
    <row r="529" spans="2:24" s="29" customFormat="1" x14ac:dyDescent="0.25">
      <c r="B529" s="30"/>
      <c r="E529" s="3"/>
    </row>
    <row r="530" spans="2:24" s="29" customFormat="1" x14ac:dyDescent="0.25">
      <c r="B530" s="30"/>
      <c r="E530" s="3"/>
    </row>
    <row r="531" spans="2:24" s="29" customFormat="1" x14ac:dyDescent="0.25">
      <c r="B531" s="30"/>
      <c r="E531" s="3"/>
    </row>
    <row r="532" spans="2:24" s="29" customFormat="1" x14ac:dyDescent="0.25">
      <c r="B532" s="30"/>
      <c r="E532" s="3"/>
    </row>
    <row r="533" spans="2:24" s="29" customFormat="1" x14ac:dyDescent="0.25">
      <c r="B533" s="30"/>
      <c r="E533" s="3"/>
    </row>
    <row r="534" spans="2:24" s="29" customFormat="1" x14ac:dyDescent="0.25">
      <c r="B534" s="30"/>
      <c r="E534" s="3"/>
    </row>
    <row r="535" spans="2:24" s="29" customFormat="1" x14ac:dyDescent="0.25">
      <c r="B535" s="30"/>
      <c r="E535" s="3"/>
    </row>
    <row r="536" spans="2:24" s="29" customFormat="1" x14ac:dyDescent="0.25">
      <c r="B536" s="30"/>
      <c r="E536" s="3"/>
    </row>
    <row r="537" spans="2:24" s="29" customFormat="1" x14ac:dyDescent="0.25">
      <c r="B537" s="30"/>
      <c r="E537" s="3"/>
    </row>
    <row r="538" spans="2:24" s="29" customFormat="1" x14ac:dyDescent="0.25">
      <c r="B538" s="30"/>
      <c r="E538" s="3"/>
    </row>
    <row r="539" spans="2:24" s="29" customFormat="1" x14ac:dyDescent="0.25">
      <c r="B539" s="30"/>
      <c r="E539" s="3"/>
    </row>
    <row r="540" spans="2:24" s="29" customFormat="1" x14ac:dyDescent="0.25">
      <c r="B540" s="30"/>
      <c r="E540" s="3"/>
    </row>
    <row r="541" spans="2:24" x14ac:dyDescent="0.25">
      <c r="B541" s="30"/>
      <c r="C541" s="29"/>
    </row>
    <row r="542" spans="2:24" s="31" customFormat="1" ht="299.45" customHeight="1" x14ac:dyDescent="0.25">
      <c r="B542" s="32" t="s">
        <v>243</v>
      </c>
      <c r="D542" s="31" t="str">
        <f>IF($D$582&lt;=$C$467,D579," ")</f>
        <v xml:space="preserve"> </v>
      </c>
      <c r="E542" s="48"/>
      <c r="F542" s="31" t="str">
        <f>IF($F$582&lt;=$C$467,F579," ")</f>
        <v xml:space="preserve"> </v>
      </c>
      <c r="H542" s="31" t="str">
        <f>IF($H$582&lt;=$C$467,H579," ")</f>
        <v>Voer de berekening eerst alleen uit met de voorlaatste methode ("gelijk rendement […] (zonder financieel hefboomeffect)". Vul vervolgens als "referentierentevoet" voor vruchtgebruiker en blote eigenaar het rendement (zonder financieel hefboomeffect) in dat verkregen wordt voor vruchtgebruiker en blote eigenaar na deze eerste oefening. Activeer vervolgens alle methodes zoals hierboven aangegeven.</v>
      </c>
      <c r="J542" s="31" t="str">
        <f>IF($J$582&lt;=$C$467,J579," ")</f>
        <v>Kies een zelf geselecteerde realistische rendementseis en vul deze in als "Referentierentevoet/gewenst ROI (basis) vruchtgebruiker" of vul de waardering eerst in zonder opname van kredieten en neem het percentage over dat in het rendementskader (rechts onderaan) staat bij "vergeleken met investering in volle eigendom"</v>
      </c>
      <c r="L542" s="31" t="str">
        <f>IF($L$582&lt;=$C$467,L579," ")</f>
        <v>Kies een zelf geselecteerde realistische rendementseis en vul deze in als "Referentierentevoet/gewenst ROI (basis) vruchtgebruiker" of vul de waardering eerst in zonder opname van kredieten en neem het percentage over dat in het rendementskader (rechts onderaan) staat bij "vergeleken met investering in volle eigendom"</v>
      </c>
      <c r="N542" s="31" t="str">
        <f>IF($N$582&lt;=$C$467,N579," ")</f>
        <v>Kies zelf verantwoord verschillende rendementseisen (referentierentevoet) voor de vruchtgebruiker en de blote eigenaar; contacteer desnoods de helpdesk</v>
      </c>
      <c r="P542" s="31" t="str">
        <f>IF($P$582&lt;=$C$467,P579," ")</f>
        <v>Kies zelf verantwoord verschillende rendementseisen (referentierentevoet) voor de vruchtgebruiker en de blote eigenaar; contacteer desnoods de helpdesk</v>
      </c>
      <c r="R542" s="31" t="str">
        <f>IF($R$582&lt;=$C$467,R579," ")</f>
        <v xml:space="preserve"> </v>
      </c>
      <c r="T542" s="31" t="str">
        <f>IF($T$582&lt;=$C$467,T579," ")</f>
        <v xml:space="preserve"> </v>
      </c>
      <c r="V542" s="31" t="str">
        <f>IF($V$582&lt;=$C$467,V579," ")</f>
        <v xml:space="preserve"> </v>
      </c>
      <c r="X542" s="31" t="str">
        <f>IF($X$582&lt;=$C$467,X579," ")</f>
        <v xml:space="preserve"> </v>
      </c>
    </row>
    <row r="543" spans="2:24" x14ac:dyDescent="0.25">
      <c r="C543" s="1"/>
    </row>
    <row r="544" spans="2:24" hidden="1" x14ac:dyDescent="0.25">
      <c r="C544" s="1"/>
    </row>
    <row r="545" spans="2:24" hidden="1" x14ac:dyDescent="0.25">
      <c r="C545" s="1"/>
    </row>
    <row r="546" spans="2:24" hidden="1" x14ac:dyDescent="0.25">
      <c r="C546" s="1"/>
    </row>
    <row r="547" spans="2:24" hidden="1" x14ac:dyDescent="0.25">
      <c r="C547" s="1"/>
    </row>
    <row r="548" spans="2:24" hidden="1" x14ac:dyDescent="0.25">
      <c r="B548" s="23" t="s">
        <v>254</v>
      </c>
      <c r="C548" s="1"/>
      <c r="D548" s="1" t="s">
        <v>255</v>
      </c>
      <c r="F548" s="1" t="s">
        <v>256</v>
      </c>
      <c r="H548" s="1" t="s">
        <v>257</v>
      </c>
      <c r="J548" s="1" t="s">
        <v>258</v>
      </c>
      <c r="L548" s="1" t="s">
        <v>259</v>
      </c>
      <c r="N548" s="1" t="s">
        <v>260</v>
      </c>
      <c r="P548" s="1" t="s">
        <v>261</v>
      </c>
      <c r="R548" s="1" t="s">
        <v>262</v>
      </c>
      <c r="T548" s="1" t="s">
        <v>263</v>
      </c>
      <c r="V548" s="1" t="s">
        <v>264</v>
      </c>
      <c r="X548" s="1" t="s">
        <v>265</v>
      </c>
    </row>
    <row r="549" spans="2:24" hidden="1" x14ac:dyDescent="0.25">
      <c r="C549" s="1"/>
    </row>
    <row r="550" spans="2:24" hidden="1" x14ac:dyDescent="0.25">
      <c r="B550" s="1" t="s">
        <v>224</v>
      </c>
      <c r="C550" s="1"/>
      <c r="D550" s="1">
        <f>HLOOKUP(D582,$D$585:$X$606,2,FALSE)</f>
        <v>1</v>
      </c>
      <c r="F550" s="1">
        <f>HLOOKUP(F582,$D$585:$X$606,2,FALSE)</f>
        <v>0</v>
      </c>
      <c r="H550" s="1">
        <f>HLOOKUP(H582,$D$585:$X$606,2,FALSE)</f>
        <v>0</v>
      </c>
      <c r="J550" s="1">
        <f>HLOOKUP(J582,$D$585:$X$606,2,FALSE)</f>
        <v>0</v>
      </c>
      <c r="L550" s="1">
        <f>HLOOKUP(L582,$D$585:$X$606,2,FALSE)</f>
        <v>1</v>
      </c>
      <c r="N550" s="1">
        <f>HLOOKUP(N582,$D$585:$X$606,2,FALSE)</f>
        <v>0</v>
      </c>
      <c r="P550" s="1">
        <f>HLOOKUP(P582,$D$585:$X$606,2,FALSE)</f>
        <v>1</v>
      </c>
      <c r="R550" s="1" t="e">
        <f>HLOOKUP(R582,$D$585:$X$606,2,FALSE)</f>
        <v>#N/A</v>
      </c>
      <c r="T550" s="1" t="e">
        <f>HLOOKUP(T582,$D$585:$X$606,2,FALSE)</f>
        <v>#N/A</v>
      </c>
      <c r="V550" s="1" t="e">
        <f>HLOOKUP(V582,$D$585:$X$606,2,FALSE)</f>
        <v>#N/A</v>
      </c>
      <c r="X550" s="1" t="e">
        <f>HLOOKUP(X582,$D$585:$X$606,2,FALSE)</f>
        <v>#N/A</v>
      </c>
    </row>
    <row r="551" spans="2:24" hidden="1" x14ac:dyDescent="0.25">
      <c r="C551" s="1"/>
    </row>
    <row r="552" spans="2:24" hidden="1" x14ac:dyDescent="0.25">
      <c r="B552" s="1" t="s">
        <v>225</v>
      </c>
      <c r="C552" s="1"/>
      <c r="D552" s="1">
        <f>HLOOKUP(D582,$D$585:$X$606,4,FALSE)</f>
        <v>1</v>
      </c>
      <c r="F552" s="1">
        <f>HLOOKUP(F582,$D$585:$X$606,4,FALSE)</f>
        <v>0</v>
      </c>
      <c r="H552" s="1">
        <f>HLOOKUP(H582,$D$585:$X$606,4,FALSE)</f>
        <v>1</v>
      </c>
      <c r="J552" s="1">
        <f>HLOOKUP(J582,$D$585:$X$606,4,FALSE)</f>
        <v>1</v>
      </c>
      <c r="L552" s="1">
        <f>HLOOKUP(L582,$D$585:$X$606,4,FALSE)</f>
        <v>0</v>
      </c>
      <c r="N552" s="1">
        <f>HLOOKUP(N582,$D$585:$X$606,4,FALSE)</f>
        <v>1</v>
      </c>
      <c r="P552" s="1">
        <f>HLOOKUP(P582,$D$585:$X$606,4,FALSE)</f>
        <v>0</v>
      </c>
      <c r="R552" s="1" t="e">
        <f>HLOOKUP(R582,$D$585:$X$606,4,FALSE)</f>
        <v>#N/A</v>
      </c>
      <c r="T552" s="1" t="e">
        <f>HLOOKUP(T582,$D$585:$X$606,4,FALSE)</f>
        <v>#N/A</v>
      </c>
      <c r="V552" s="1" t="e">
        <f>HLOOKUP(V582,$D$585:$X$606,4,FALSE)</f>
        <v>#N/A</v>
      </c>
      <c r="X552" s="1" t="e">
        <f>HLOOKUP(X582,$D$585:$X$606,4,FALSE)</f>
        <v>#N/A</v>
      </c>
    </row>
    <row r="553" spans="2:24" hidden="1" x14ac:dyDescent="0.25">
      <c r="C553" s="1"/>
    </row>
    <row r="554" spans="2:24" hidden="1" x14ac:dyDescent="0.25">
      <c r="B554" s="1" t="s">
        <v>226</v>
      </c>
      <c r="C554" s="1"/>
      <c r="D554" s="1">
        <f>HLOOKUP(D582,$D$585:$X$606,6,FALSE)</f>
        <v>0</v>
      </c>
      <c r="F554" s="1">
        <f>HLOOKUP(F582,$D$585:$X$606,6,FALSE)</f>
        <v>0</v>
      </c>
      <c r="H554" s="1">
        <f>HLOOKUP(H582,$D$585:$X$606,6,FALSE)</f>
        <v>0</v>
      </c>
      <c r="J554" s="1">
        <f>HLOOKUP(J582,$D$585:$X$606,6,FALSE)</f>
        <v>0</v>
      </c>
      <c r="L554" s="1">
        <f>HLOOKUP(L582,$D$585:$X$606,6,FALSE)</f>
        <v>0</v>
      </c>
      <c r="N554" s="1">
        <f>HLOOKUP(N582,$D$585:$X$606,6,FALSE)</f>
        <v>0</v>
      </c>
      <c r="P554" s="1">
        <f>HLOOKUP(P582,$D$585:$X$606,6,FALSE)</f>
        <v>0</v>
      </c>
      <c r="R554" s="1" t="e">
        <f>HLOOKUP(R582,$D$585:$X$606,6,FALSE)</f>
        <v>#N/A</v>
      </c>
      <c r="T554" s="1" t="e">
        <f>HLOOKUP(T582,$D$585:$X$606,6,FALSE)</f>
        <v>#N/A</v>
      </c>
      <c r="V554" s="1" t="e">
        <f>HLOOKUP(V582,$D$585:$X$606,6,FALSE)</f>
        <v>#N/A</v>
      </c>
      <c r="X554" s="1" t="e">
        <f>HLOOKUP(X582,$D$585:$X$606,6,FALSE)</f>
        <v>#N/A</v>
      </c>
    </row>
    <row r="555" spans="2:24" hidden="1" x14ac:dyDescent="0.25">
      <c r="C555" s="1"/>
    </row>
    <row r="556" spans="2:24" hidden="1" x14ac:dyDescent="0.25">
      <c r="B556" s="1" t="s">
        <v>227</v>
      </c>
      <c r="C556" s="1"/>
      <c r="D556" s="1">
        <f>HLOOKUP(D582,$D$585:$X$606,8,FALSE)</f>
        <v>0</v>
      </c>
      <c r="F556" s="1">
        <f>HLOOKUP(F582,$D$585:$X$606,8,FALSE)</f>
        <v>0</v>
      </c>
      <c r="H556" s="1">
        <f>HLOOKUP(H582,$D$585:$X$606,8,FALSE)</f>
        <v>0</v>
      </c>
      <c r="J556" s="1">
        <f>HLOOKUP(J582,$D$585:$X$606,8,FALSE)</f>
        <v>0</v>
      </c>
      <c r="L556" s="1">
        <f>HLOOKUP(L582,$D$585:$X$606,8,FALSE)</f>
        <v>0</v>
      </c>
      <c r="N556" s="1">
        <f>HLOOKUP(N582,$D$585:$X$606,8,FALSE)</f>
        <v>0</v>
      </c>
      <c r="P556" s="1">
        <f>HLOOKUP(P582,$D$585:$X$606,8,FALSE)</f>
        <v>0</v>
      </c>
      <c r="R556" s="1" t="e">
        <f>HLOOKUP(R582,$D$585:$X$606,8,FALSE)</f>
        <v>#N/A</v>
      </c>
      <c r="T556" s="1" t="e">
        <f>HLOOKUP(T582,$D$585:$X$606,8,FALSE)</f>
        <v>#N/A</v>
      </c>
      <c r="V556" s="1" t="e">
        <f>HLOOKUP(V582,$D$585:$X$606,8,FALSE)</f>
        <v>#N/A</v>
      </c>
      <c r="X556" s="1" t="e">
        <f>HLOOKUP(X582,$D$585:$X$606,8,FALSE)</f>
        <v>#N/A</v>
      </c>
    </row>
    <row r="557" spans="2:24" hidden="1" x14ac:dyDescent="0.25">
      <c r="C557" s="1"/>
    </row>
    <row r="558" spans="2:24" hidden="1" x14ac:dyDescent="0.25">
      <c r="B558" s="1" t="s">
        <v>228</v>
      </c>
      <c r="C558" s="1"/>
      <c r="D558" s="1">
        <f>HLOOKUP(D582,$D$585:$X$606,10,FALSE)</f>
        <v>1</v>
      </c>
      <c r="F558" s="1">
        <f>HLOOKUP(F582,$D$585:$X$606,10,FALSE)</f>
        <v>0</v>
      </c>
      <c r="H558" s="1">
        <f>HLOOKUP(H582,$D$585:$X$606,10,FALSE)</f>
        <v>0</v>
      </c>
      <c r="J558" s="1">
        <f>HLOOKUP(J582,$D$585:$X$606,10,FALSE)</f>
        <v>0</v>
      </c>
      <c r="L558" s="1">
        <f>HLOOKUP(L582,$D$585:$X$606,10,FALSE)</f>
        <v>0</v>
      </c>
      <c r="N558" s="1">
        <f>HLOOKUP(N582,$D$585:$X$606,10,FALSE)</f>
        <v>0</v>
      </c>
      <c r="P558" s="1">
        <f>HLOOKUP(P582,$D$585:$X$606,10,FALSE)</f>
        <v>0</v>
      </c>
      <c r="R558" s="1" t="e">
        <f>HLOOKUP(R582,$D$585:$X$606,10,FALSE)</f>
        <v>#N/A</v>
      </c>
      <c r="T558" s="1" t="e">
        <f>HLOOKUP(T582,$D$585:$X$606,10,FALSE)</f>
        <v>#N/A</v>
      </c>
      <c r="V558" s="1" t="e">
        <f>HLOOKUP(V582,$D$585:$X$606,10,FALSE)</f>
        <v>#N/A</v>
      </c>
      <c r="X558" s="1" t="e">
        <f>HLOOKUP(X582,$D$585:$X$606,10,FALSE)</f>
        <v>#N/A</v>
      </c>
    </row>
    <row r="559" spans="2:24" hidden="1" x14ac:dyDescent="0.25">
      <c r="C559" s="1"/>
    </row>
    <row r="560" spans="2:24" hidden="1" x14ac:dyDescent="0.25">
      <c r="B560" s="1" t="s">
        <v>229</v>
      </c>
      <c r="C560" s="1"/>
      <c r="D560" s="1">
        <f>HLOOKUP(D582,$D$585:$X$606,12,FALSE)</f>
        <v>1</v>
      </c>
      <c r="F560" s="1">
        <f>HLOOKUP(F582,$D$585:$X$606,12,FALSE)</f>
        <v>0</v>
      </c>
      <c r="H560" s="1">
        <f>HLOOKUP(H582,$D$585:$X$606,12,FALSE)</f>
        <v>1</v>
      </c>
      <c r="J560" s="1">
        <f>HLOOKUP(J582,$D$585:$X$606,12,FALSE)</f>
        <v>0</v>
      </c>
      <c r="L560" s="1">
        <f>HLOOKUP(L582,$D$585:$X$606,12,FALSE)</f>
        <v>0</v>
      </c>
      <c r="N560" s="1">
        <f>HLOOKUP(N582,$D$585:$X$606,12,FALSE)</f>
        <v>1</v>
      </c>
      <c r="P560" s="1">
        <f>HLOOKUP(P582,$D$585:$X$606,12,FALSE)</f>
        <v>1</v>
      </c>
      <c r="R560" s="1" t="e">
        <f>HLOOKUP(R582,$D$585:$X$606,12,FALSE)</f>
        <v>#N/A</v>
      </c>
      <c r="T560" s="1" t="e">
        <f>HLOOKUP(T582,$D$585:$X$606,12,FALSE)</f>
        <v>#N/A</v>
      </c>
      <c r="V560" s="1" t="e">
        <f>HLOOKUP(V582,$D$585:$X$606,12,FALSE)</f>
        <v>#N/A</v>
      </c>
      <c r="X560" s="1" t="e">
        <f>HLOOKUP(X582,$D$585:$X$606,12,FALSE)</f>
        <v>#N/A</v>
      </c>
    </row>
    <row r="561" spans="2:24" hidden="1" x14ac:dyDescent="0.25">
      <c r="C561" s="1"/>
    </row>
    <row r="562" spans="2:24" hidden="1" x14ac:dyDescent="0.25">
      <c r="B562" s="1" t="s">
        <v>230</v>
      </c>
      <c r="C562" s="1"/>
      <c r="D562" s="1">
        <f>HLOOKUP(D582,$D$585:$X$606,14,FALSE)</f>
        <v>1</v>
      </c>
      <c r="F562" s="1">
        <f>HLOOKUP(F582,$D$585:$X$606,14,FALSE)</f>
        <v>0</v>
      </c>
      <c r="H562" s="1">
        <f>HLOOKUP(H582,$D$585:$X$606,14,FALSE)</f>
        <v>0</v>
      </c>
      <c r="J562" s="1">
        <f>HLOOKUP(J582,$D$585:$X$606,14,FALSE)</f>
        <v>0</v>
      </c>
      <c r="L562" s="1">
        <f>HLOOKUP(L582,$D$585:$X$606,14,FALSE)</f>
        <v>0</v>
      </c>
      <c r="N562" s="1">
        <f>HLOOKUP(N582,$D$585:$X$606,14,FALSE)</f>
        <v>0</v>
      </c>
      <c r="P562" s="1">
        <f>HLOOKUP(P582,$D$585:$X$606,14,FALSE)</f>
        <v>0</v>
      </c>
      <c r="R562" s="1" t="e">
        <f>HLOOKUP(R582,$D$585:$X$606,14,FALSE)</f>
        <v>#N/A</v>
      </c>
      <c r="T562" s="1" t="e">
        <f>HLOOKUP(T582,$D$585:$X$606,14,FALSE)</f>
        <v>#N/A</v>
      </c>
      <c r="V562" s="1" t="e">
        <f>HLOOKUP(V582,$D$585:$X$606,14,FALSE)</f>
        <v>#N/A</v>
      </c>
      <c r="X562" s="1" t="e">
        <f>HLOOKUP(X582,$D$585:$X$606,14,FALSE)</f>
        <v>#N/A</v>
      </c>
    </row>
    <row r="563" spans="2:24" hidden="1" x14ac:dyDescent="0.25">
      <c r="C563" s="1"/>
    </row>
    <row r="564" spans="2:24" hidden="1" x14ac:dyDescent="0.25">
      <c r="B564" s="1" t="s">
        <v>231</v>
      </c>
      <c r="C564" s="1"/>
      <c r="D564" s="1">
        <f>HLOOKUP(D582,$D$585:$X$606,16,FALSE)</f>
        <v>0</v>
      </c>
      <c r="F564" s="1">
        <f>HLOOKUP(F582,$D$585:$X$606,16,FALSE)</f>
        <v>0</v>
      </c>
      <c r="H564" s="1">
        <f>HLOOKUP(H582,$D$585:$X$606,16,FALSE)</f>
        <v>0</v>
      </c>
      <c r="J564" s="1">
        <f>HLOOKUP(J582,$D$585:$X$606,16,FALSE)</f>
        <v>0</v>
      </c>
      <c r="L564" s="1">
        <f>HLOOKUP(L582,$D$585:$X$606,16,FALSE)</f>
        <v>0</v>
      </c>
      <c r="N564" s="1">
        <f>HLOOKUP(N582,$D$585:$X$606,16,FALSE)</f>
        <v>0</v>
      </c>
      <c r="P564" s="1">
        <f>HLOOKUP(P582,$D$585:$X$606,16,FALSE)</f>
        <v>0</v>
      </c>
      <c r="R564" s="1" t="e">
        <f>HLOOKUP(R582,$D$585:$X$606,16,FALSE)</f>
        <v>#N/A</v>
      </c>
      <c r="T564" s="1" t="e">
        <f>HLOOKUP(T582,$D$585:$X$606,16,FALSE)</f>
        <v>#N/A</v>
      </c>
      <c r="V564" s="1" t="e">
        <f>HLOOKUP(V582,$D$585:$X$606,16,FALSE)</f>
        <v>#N/A</v>
      </c>
      <c r="X564" s="1" t="e">
        <f>HLOOKUP(X582,$D$585:$X$606,16,FALSE)</f>
        <v>#N/A</v>
      </c>
    </row>
    <row r="565" spans="2:24" hidden="1" x14ac:dyDescent="0.25">
      <c r="C565" s="1"/>
    </row>
    <row r="566" spans="2:24" hidden="1" x14ac:dyDescent="0.25">
      <c r="B566" s="1" t="s">
        <v>232</v>
      </c>
      <c r="C566" s="1"/>
      <c r="D566" s="1">
        <f>HLOOKUP(D582,$D$585:$X$606,18,FALSE)</f>
        <v>1</v>
      </c>
      <c r="F566" s="1">
        <f>HLOOKUP(F582,$D$585:$X$606,18,FALSE)</f>
        <v>0</v>
      </c>
      <c r="H566" s="1">
        <f>HLOOKUP(H582,$D$585:$X$606,18,FALSE)</f>
        <v>0</v>
      </c>
      <c r="J566" s="1">
        <f>HLOOKUP(J582,$D$585:$X$606,18,FALSE)</f>
        <v>0</v>
      </c>
      <c r="L566" s="1">
        <f>HLOOKUP(L582,$D$585:$X$606,18,FALSE)</f>
        <v>0</v>
      </c>
      <c r="N566" s="1">
        <f>HLOOKUP(N582,$D$585:$X$606,18,FALSE)</f>
        <v>0</v>
      </c>
      <c r="P566" s="1">
        <f>HLOOKUP(P582,$D$585:$X$606,18,FALSE)</f>
        <v>0</v>
      </c>
      <c r="R566" s="1" t="e">
        <f>HLOOKUP(R582,$D$585:$X$606,18,FALSE)</f>
        <v>#N/A</v>
      </c>
      <c r="T566" s="1" t="e">
        <f>HLOOKUP(T582,$D$585:$X$606,18,FALSE)</f>
        <v>#N/A</v>
      </c>
      <c r="V566" s="1" t="e">
        <f>HLOOKUP(V582,$D$585:$X$606,18,FALSE)</f>
        <v>#N/A</v>
      </c>
      <c r="X566" s="1" t="e">
        <f>HLOOKUP(X582,$D$585:$X$606,18,FALSE)</f>
        <v>#N/A</v>
      </c>
    </row>
    <row r="567" spans="2:24" hidden="1" x14ac:dyDescent="0.25">
      <c r="C567" s="1"/>
    </row>
    <row r="568" spans="2:24" hidden="1" x14ac:dyDescent="0.25">
      <c r="B568" s="1" t="s">
        <v>233</v>
      </c>
      <c r="C568" s="1"/>
      <c r="D568" s="1">
        <f>HLOOKUP(D582,$D$585:$X$606,20,FALSE)</f>
        <v>1</v>
      </c>
      <c r="F568" s="1">
        <f>HLOOKUP(F582,$D$585:$X$606,20,FALSE)</f>
        <v>1</v>
      </c>
      <c r="H568" s="1">
        <f>HLOOKUP(H582,$D$585:$X$606,20,FALSE)</f>
        <v>1</v>
      </c>
      <c r="J568" s="1">
        <f>HLOOKUP(J582,$D$585:$X$606,20,FALSE)</f>
        <v>0</v>
      </c>
      <c r="L568" s="1">
        <f>HLOOKUP(L582,$D$585:$X$606,20,FALSE)</f>
        <v>0</v>
      </c>
      <c r="N568" s="1">
        <f>HLOOKUP(N582,$D$585:$X$606,20,FALSE)</f>
        <v>0</v>
      </c>
      <c r="P568" s="1">
        <f>HLOOKUP(P582,$D$585:$X$606,20,FALSE)</f>
        <v>0</v>
      </c>
      <c r="R568" s="1" t="e">
        <f>HLOOKUP(R582,$D$585:$X$606,20,FALSE)</f>
        <v>#N/A</v>
      </c>
      <c r="T568" s="1" t="e">
        <f>HLOOKUP(T582,$D$585:$X$606,20,FALSE)</f>
        <v>#N/A</v>
      </c>
      <c r="V568" s="1" t="e">
        <f>HLOOKUP(V582,$D$585:$X$606,20,FALSE)</f>
        <v>#N/A</v>
      </c>
      <c r="X568" s="1" t="e">
        <f>HLOOKUP(X582,$D$585:$X$606,20,FALSE)</f>
        <v>#N/A</v>
      </c>
    </row>
    <row r="569" spans="2:24" hidden="1" x14ac:dyDescent="0.25">
      <c r="C569" s="1"/>
    </row>
    <row r="570" spans="2:24" hidden="1" x14ac:dyDescent="0.25">
      <c r="B570" s="1" t="s">
        <v>234</v>
      </c>
      <c r="C570" s="1"/>
      <c r="D570" s="1">
        <f>HLOOKUP(D582,$D$585:$X$606,22,FALSE)</f>
        <v>1</v>
      </c>
      <c r="F570" s="1">
        <f>HLOOKUP(F582,$D$585:$X$606,22,FALSE)</f>
        <v>0</v>
      </c>
      <c r="H570" s="1">
        <f>HLOOKUP(H582,$D$585:$X$606,22,FALSE)</f>
        <v>0</v>
      </c>
      <c r="J570" s="1">
        <f>HLOOKUP(J582,$D$585:$X$606,22,FALSE)</f>
        <v>0</v>
      </c>
      <c r="L570" s="1">
        <f>HLOOKUP(L582,$D$585:$X$606,22,FALSE)</f>
        <v>0</v>
      </c>
      <c r="N570" s="1">
        <f>HLOOKUP(N582,$D$585:$X$606,22,FALSE)</f>
        <v>0</v>
      </c>
      <c r="P570" s="1">
        <f>HLOOKUP(P582,$D$585:$X$606,22,FALSE)</f>
        <v>0</v>
      </c>
      <c r="R570" s="1" t="e">
        <f>HLOOKUP(R582,$D$585:$X$606,22,FALSE)</f>
        <v>#N/A</v>
      </c>
      <c r="T570" s="1" t="e">
        <f>HLOOKUP(T582,$D$585:$X$606,22,FALSE)</f>
        <v>#N/A</v>
      </c>
      <c r="V570" s="1" t="e">
        <f>HLOOKUP(V582,$D$585:$X$606,22,FALSE)</f>
        <v>#N/A</v>
      </c>
      <c r="X570" s="1" t="e">
        <f>HLOOKUP(X582,$D$585:$X$606,22,FALSE)</f>
        <v>#N/A</v>
      </c>
    </row>
    <row r="571" spans="2:24" s="23" customFormat="1" hidden="1" x14ac:dyDescent="0.25">
      <c r="B571" s="40"/>
      <c r="D571" s="23">
        <f>SUM(D550:D570)</f>
        <v>8</v>
      </c>
      <c r="E571" s="45"/>
      <c r="F571" s="23">
        <f>SUM(F550:F570)</f>
        <v>1</v>
      </c>
      <c r="H571" s="23">
        <f>SUM(H550:H570)</f>
        <v>3</v>
      </c>
      <c r="J571" s="23">
        <f>SUM(J550:J570)</f>
        <v>1</v>
      </c>
      <c r="L571" s="23">
        <f>SUM(L550:L570)</f>
        <v>1</v>
      </c>
      <c r="N571" s="23">
        <f>SUM(N550:N570)</f>
        <v>2</v>
      </c>
      <c r="P571" s="23">
        <f>SUM(P550:P570)</f>
        <v>2</v>
      </c>
      <c r="R571" s="23" t="e">
        <f>SUM(R550:R570)</f>
        <v>#N/A</v>
      </c>
      <c r="T571" s="23" t="e">
        <f>SUM(T550:T570)</f>
        <v>#N/A</v>
      </c>
      <c r="V571" s="23" t="e">
        <f>SUM(V550:V570)</f>
        <v>#N/A</v>
      </c>
      <c r="X571" s="23" t="e">
        <f>SUM(X550:X570)</f>
        <v>#N/A</v>
      </c>
    </row>
    <row r="572" spans="2:24" hidden="1" x14ac:dyDescent="0.25">
      <c r="C572" s="1"/>
    </row>
    <row r="573" spans="2:24" s="29" customFormat="1" hidden="1" x14ac:dyDescent="0.25">
      <c r="B573" s="30" t="s">
        <v>236</v>
      </c>
      <c r="D573" s="29">
        <f>HLOOKUP(D582,$D$585:$X$666,25,FALSE)</f>
        <v>0.04</v>
      </c>
      <c r="E573" s="3"/>
      <c r="F573" s="29">
        <f>HLOOKUP(F582,$D$585:$X$666,25,FALSE)</f>
        <v>0.04</v>
      </c>
      <c r="H573" s="29" t="str">
        <f>HLOOKUP(H582,$D$585:$X$666,25,FALSE)</f>
        <v>zie veld "commentaar"</v>
      </c>
      <c r="J573" s="29" t="str">
        <f>HLOOKUP(J582,$D$585:$X$666,25,FALSE)</f>
        <v>zie veld "commentaar"</v>
      </c>
      <c r="L573" s="29" t="str">
        <f>HLOOKUP(L582,$D$585:$X$666,25,FALSE)</f>
        <v>zie veld "commentaar"</v>
      </c>
      <c r="N573" s="29" t="str">
        <f>HLOOKUP(N582,$D$585:$X$666,25,FALSE)</f>
        <v>zie veld "commentaar"</v>
      </c>
      <c r="P573" s="29" t="str">
        <f>HLOOKUP(P582,$D$585:$X$666,25,FALSE)</f>
        <v>zie veld "commentaar"</v>
      </c>
      <c r="R573" s="29" t="e">
        <f>HLOOKUP(R582,$D$585:$X$666,25,FALSE)</f>
        <v>#N/A</v>
      </c>
      <c r="T573" s="29" t="e">
        <f>HLOOKUP(T582,$D$585:$X$666,25,FALSE)</f>
        <v>#N/A</v>
      </c>
      <c r="V573" s="29" t="e">
        <f>HLOOKUP(V582,$D$585:$X$666,25,FALSE)</f>
        <v>#N/A</v>
      </c>
      <c r="X573" s="29" t="e">
        <f>HLOOKUP(X582,$D$585:$X$666,25,FALSE)</f>
        <v>#N/A</v>
      </c>
    </row>
    <row r="574" spans="2:24" s="29" customFormat="1" hidden="1" x14ac:dyDescent="0.25">
      <c r="E574" s="3"/>
    </row>
    <row r="575" spans="2:24" s="29" customFormat="1" hidden="1" x14ac:dyDescent="0.25">
      <c r="B575" s="30" t="s">
        <v>238</v>
      </c>
      <c r="D575" s="29">
        <f>HLOOKUP(D582,$D$585:$X$666,27,FALSE)</f>
        <v>0.04</v>
      </c>
      <c r="E575" s="3"/>
      <c r="F575" s="29">
        <f>HLOOKUP(F582,$D$585:$X$666,27,FALSE)</f>
        <v>0.04</v>
      </c>
      <c r="H575" s="29" t="str">
        <f>HLOOKUP(H582,$D$585:$X$666,27,FALSE)</f>
        <v>zie veld "commentaar"</v>
      </c>
      <c r="J575" s="29" t="str">
        <f>HLOOKUP(J582,$D$585:$X$666,27,FALSE)</f>
        <v>zie veld "commentaar"</v>
      </c>
      <c r="L575" s="29" t="str">
        <f>HLOOKUP(L582,$D$585:$X$666,27,FALSE)</f>
        <v>zie veld "commentaar"</v>
      </c>
      <c r="N575" s="29" t="str">
        <f>HLOOKUP(N582,$D$585:$X$666,27,FALSE)</f>
        <v>zie veld "commentaar"</v>
      </c>
      <c r="P575" s="29" t="str">
        <f>HLOOKUP(P582,$D$585:$X$666,27,FALSE)</f>
        <v>zie veld "commentaar"</v>
      </c>
      <c r="R575" s="29" t="e">
        <f>HLOOKUP(R582,$D$585:$X$666,27,FALSE)</f>
        <v>#N/A</v>
      </c>
      <c r="T575" s="29" t="e">
        <f>HLOOKUP(T582,$D$585:$X$666,27,FALSE)</f>
        <v>#N/A</v>
      </c>
      <c r="V575" s="29" t="e">
        <f>HLOOKUP(V582,$D$585:$X$666,27,FALSE)</f>
        <v>#N/A</v>
      </c>
      <c r="X575" s="29" t="e">
        <f>HLOOKUP(X582,$D$585:$X$666,27,FALSE)</f>
        <v>#N/A</v>
      </c>
    </row>
    <row r="576" spans="2:24" s="29" customFormat="1" hidden="1" x14ac:dyDescent="0.25">
      <c r="E576" s="3"/>
    </row>
    <row r="577" spans="2:24" s="29" customFormat="1" hidden="1" x14ac:dyDescent="0.25">
      <c r="B577" s="30" t="s">
        <v>155</v>
      </c>
      <c r="D577" s="29">
        <f>HLOOKUP(D582,$D$585:$X$666,29,FALSE)</f>
        <v>0.01</v>
      </c>
      <c r="E577" s="3"/>
      <c r="F577" s="29">
        <f>HLOOKUP(F582,$D$585:$X$666,29,FALSE)</f>
        <v>0.01</v>
      </c>
      <c r="H577" s="29" t="str">
        <f>HLOOKUP(H582,$D$585:$X$666,29,FALSE)</f>
        <v>zie veld "commentaar"</v>
      </c>
      <c r="J577" s="29" t="str">
        <f>HLOOKUP(J582,$D$585:$X$666,29,FALSE)</f>
        <v>zie veld "commentaar"</v>
      </c>
      <c r="L577" s="29" t="str">
        <f>HLOOKUP(L582,$D$585:$X$666,29,FALSE)</f>
        <v>zie veld "commentaar"</v>
      </c>
      <c r="N577" s="29" t="str">
        <f>HLOOKUP(N582,$D$585:$X$666,29,FALSE)</f>
        <v>zie veld "commentaar"</v>
      </c>
      <c r="P577" s="29" t="str">
        <f>HLOOKUP(P582,$D$585:$X$666,29,FALSE)</f>
        <v>zie veld "commentaar"</v>
      </c>
      <c r="R577" s="29" t="e">
        <f>HLOOKUP(R582,$D$585:$X$666,29,FALSE)</f>
        <v>#N/A</v>
      </c>
      <c r="T577" s="29" t="e">
        <f>HLOOKUP(T582,$D$585:$X$666,29,FALSE)</f>
        <v>#N/A</v>
      </c>
      <c r="V577" s="29" t="e">
        <f>HLOOKUP(V582,$D$585:$X$666,29,FALSE)</f>
        <v>#N/A</v>
      </c>
      <c r="X577" s="29" t="e">
        <f>HLOOKUP(X582,$D$585:$X$666,29,FALSE)</f>
        <v>#N/A</v>
      </c>
    </row>
    <row r="578" spans="2:24" s="29" customFormat="1" hidden="1" x14ac:dyDescent="0.25">
      <c r="B578" s="30"/>
      <c r="E578" s="3"/>
    </row>
    <row r="579" spans="2:24" s="46" customFormat="1" hidden="1" x14ac:dyDescent="0.25">
      <c r="B579" s="32" t="s">
        <v>243</v>
      </c>
      <c r="D579" s="46" t="str">
        <f>IF(D580=0," ",D580)</f>
        <v xml:space="preserve"> </v>
      </c>
      <c r="E579" s="47"/>
      <c r="F579" s="46" t="str">
        <f>IF(F580=0," ",F580)</f>
        <v xml:space="preserve"> </v>
      </c>
      <c r="H579" s="46" t="str">
        <f>IF(H580=0," ",H580)</f>
        <v>Voer de berekening eerst alleen uit met de voorlaatste methode ("gelijk rendement […] (zonder financieel hefboomeffect)". Vul vervolgens als "referentierentevoet" voor vruchtgebruiker en blote eigenaar het rendement (zonder financieel hefboomeffect) in dat verkregen wordt voor vruchtgebruiker en blote eigenaar na deze eerste oefening. Activeer vervolgens alle methodes zoals hierboven aangegeven.</v>
      </c>
      <c r="J579" s="46" t="str">
        <f>IF(J580=0," ",J580)</f>
        <v>Kies een zelf geselecteerde realistische rendementseis en vul deze in als "Referentierentevoet/gewenst ROI (basis) vruchtgebruiker" of vul de waardering eerst in zonder opname van kredieten en neem het percentage over dat in het rendementskader (rechts onderaan) staat bij "vergeleken met investering in volle eigendom"</v>
      </c>
      <c r="L579" s="46" t="str">
        <f>IF(L580=0," ",L580)</f>
        <v>Kies een zelf geselecteerde realistische rendementseis en vul deze in als "Referentierentevoet/gewenst ROI (basis) vruchtgebruiker" of vul de waardering eerst in zonder opname van kredieten en neem het percentage over dat in het rendementskader (rechts onderaan) staat bij "vergeleken met investering in volle eigendom"</v>
      </c>
      <c r="N579" s="46" t="str">
        <f>IF(N580=0," ",N580)</f>
        <v>Kies zelf verantwoord verschillende rendementseisen (referentierentevoet) voor de vruchtgebruiker en de blote eigenaar; contacteer desnoods de helpdesk</v>
      </c>
      <c r="P579" s="46" t="str">
        <f>IF(P580=0," ",P580)</f>
        <v>Kies zelf verantwoord verschillende rendementseisen (referentierentevoet) voor de vruchtgebruiker en de blote eigenaar; contacteer desnoods de helpdesk</v>
      </c>
      <c r="R579" s="46" t="e">
        <f>IF(R580=0," ",R580)</f>
        <v>#N/A</v>
      </c>
      <c r="T579" s="46" t="e">
        <f>IF(T580=0," ",T580)</f>
        <v>#N/A</v>
      </c>
      <c r="V579" s="46" t="e">
        <f>IF(V580=0," ",V580)</f>
        <v>#N/A</v>
      </c>
      <c r="X579" s="46" t="e">
        <f>IF(X580=0," ",X580)</f>
        <v>#N/A</v>
      </c>
    </row>
    <row r="580" spans="2:24" s="28" customFormat="1" hidden="1" x14ac:dyDescent="0.25">
      <c r="D580" s="30">
        <f>HLOOKUP(D582,$D$585:$X$666,82,FALSE)</f>
        <v>0</v>
      </c>
      <c r="E580" s="41"/>
      <c r="F580" s="30">
        <f>HLOOKUP(F582,$D$585:$X$666,82,FALSE)</f>
        <v>0</v>
      </c>
      <c r="H580" s="30" t="str">
        <f>HLOOKUP(H582,$D$585:$X$666,82,FALSE)</f>
        <v>Voer de berekening eerst alleen uit met de voorlaatste methode ("gelijk rendement […] (zonder financieel hefboomeffect)". Vul vervolgens als "referentierentevoet" voor vruchtgebruiker en blote eigenaar het rendement (zonder financieel hefboomeffect) in dat verkregen wordt voor vruchtgebruiker en blote eigenaar na deze eerste oefening. Activeer vervolgens alle methodes zoals hierboven aangegeven.</v>
      </c>
      <c r="J580" s="30" t="str">
        <f>HLOOKUP(J582,$D$585:$X$666,82,FALSE)</f>
        <v>Kies een zelf geselecteerde realistische rendementseis en vul deze in als "Referentierentevoet/gewenst ROI (basis) vruchtgebruiker" of vul de waardering eerst in zonder opname van kredieten en neem het percentage over dat in het rendementskader (rechts onderaan) staat bij "vergeleken met investering in volle eigendom"</v>
      </c>
      <c r="L580" s="30" t="str">
        <f>HLOOKUP(L582,$D$585:$X$666,82,FALSE)</f>
        <v>Kies een zelf geselecteerde realistische rendementseis en vul deze in als "Referentierentevoet/gewenst ROI (basis) vruchtgebruiker" of vul de waardering eerst in zonder opname van kredieten en neem het percentage over dat in het rendementskader (rechts onderaan) staat bij "vergeleken met investering in volle eigendom"</v>
      </c>
      <c r="N580" s="30" t="str">
        <f>HLOOKUP(N582,$D$585:$X$666,82,FALSE)</f>
        <v>Kies zelf verantwoord verschillende rendementseisen (referentierentevoet) voor de vruchtgebruiker en de blote eigenaar; contacteer desnoods de helpdesk</v>
      </c>
      <c r="P580" s="30" t="str">
        <f>HLOOKUP(P582,$D$585:$X$666,82,FALSE)</f>
        <v>Kies zelf verantwoord verschillende rendementseisen (referentierentevoet) voor de vruchtgebruiker en de blote eigenaar; contacteer desnoods de helpdesk</v>
      </c>
      <c r="R580" s="30" t="e">
        <f>HLOOKUP(R582,$D$585:$X$666,82,FALSE)</f>
        <v>#N/A</v>
      </c>
      <c r="T580" s="30" t="e">
        <f>HLOOKUP(T582,$D$585:$X$666,82,FALSE)</f>
        <v>#N/A</v>
      </c>
      <c r="V580" s="30" t="e">
        <f>HLOOKUP(V582,$D$585:$X$666,82,FALSE)</f>
        <v>#N/A</v>
      </c>
      <c r="X580" s="30" t="e">
        <f>HLOOKUP(X582,$D$585:$X$666,82,FALSE)</f>
        <v>#N/A</v>
      </c>
    </row>
    <row r="581" spans="2:24" hidden="1" x14ac:dyDescent="0.25">
      <c r="B581" s="32"/>
      <c r="C581" s="1"/>
    </row>
    <row r="582" spans="2:24" s="43" customFormat="1" hidden="1" x14ac:dyDescent="0.25">
      <c r="B582" s="42"/>
      <c r="D582" s="43">
        <v>1</v>
      </c>
      <c r="E582" s="44"/>
      <c r="F582" s="43">
        <v>2</v>
      </c>
      <c r="H582" s="43">
        <v>3</v>
      </c>
      <c r="J582" s="43">
        <v>4</v>
      </c>
      <c r="L582" s="43">
        <v>5</v>
      </c>
      <c r="N582" s="43">
        <v>6</v>
      </c>
      <c r="P582" s="43">
        <v>7</v>
      </c>
      <c r="R582" s="43">
        <v>8</v>
      </c>
      <c r="T582" s="43">
        <v>9</v>
      </c>
      <c r="V582" s="43">
        <v>10</v>
      </c>
      <c r="X582" s="43">
        <v>11</v>
      </c>
    </row>
    <row r="583" spans="2:24" hidden="1" x14ac:dyDescent="0.25">
      <c r="C583" s="1"/>
    </row>
    <row r="584" spans="2:24" hidden="1" x14ac:dyDescent="0.25">
      <c r="B584" s="23" t="s">
        <v>254</v>
      </c>
      <c r="C584" s="1"/>
      <c r="D584" s="1" t="s">
        <v>213</v>
      </c>
      <c r="E584" s="1"/>
      <c r="F584" s="1" t="s">
        <v>214</v>
      </c>
      <c r="H584" s="1" t="s">
        <v>215</v>
      </c>
      <c r="J584" s="1" t="s">
        <v>216</v>
      </c>
      <c r="L584" s="1" t="s">
        <v>217</v>
      </c>
      <c r="N584" s="1" t="s">
        <v>218</v>
      </c>
      <c r="P584" s="1" t="s">
        <v>219</v>
      </c>
      <c r="R584" s="1" t="s">
        <v>220</v>
      </c>
      <c r="T584" s="1" t="s">
        <v>221</v>
      </c>
      <c r="V584" s="1" t="s">
        <v>222</v>
      </c>
      <c r="X584" s="1" t="s">
        <v>223</v>
      </c>
    </row>
    <row r="585" spans="2:24" s="23" customFormat="1" hidden="1" x14ac:dyDescent="0.25">
      <c r="B585" s="23" t="s">
        <v>242</v>
      </c>
      <c r="D585" s="23">
        <f>D661</f>
        <v>1</v>
      </c>
      <c r="F585" s="23">
        <f>F661</f>
        <v>2</v>
      </c>
      <c r="H585" s="23">
        <f>H661</f>
        <v>3</v>
      </c>
      <c r="J585" s="23">
        <f>J661</f>
        <v>0</v>
      </c>
      <c r="L585" s="23">
        <f>L661</f>
        <v>0</v>
      </c>
      <c r="N585" s="23">
        <f>N661</f>
        <v>4</v>
      </c>
      <c r="P585" s="23">
        <f>P661</f>
        <v>5</v>
      </c>
      <c r="R585" s="23">
        <f>R661</f>
        <v>0</v>
      </c>
      <c r="T585" s="23">
        <f>T661</f>
        <v>6</v>
      </c>
      <c r="V585" s="23">
        <f>V661</f>
        <v>7</v>
      </c>
      <c r="X585" s="23">
        <f>X661</f>
        <v>0</v>
      </c>
    </row>
    <row r="586" spans="2:24" hidden="1" x14ac:dyDescent="0.25">
      <c r="B586" s="1" t="s">
        <v>224</v>
      </c>
      <c r="C586" s="1"/>
      <c r="D586" s="1">
        <v>1</v>
      </c>
      <c r="E586" s="1"/>
      <c r="F586" s="1">
        <v>0</v>
      </c>
      <c r="H586" s="1">
        <v>0</v>
      </c>
      <c r="J586" s="1">
        <v>0</v>
      </c>
      <c r="L586" s="1">
        <v>0</v>
      </c>
      <c r="N586" s="1">
        <v>0</v>
      </c>
      <c r="P586" s="1">
        <v>1</v>
      </c>
      <c r="R586" s="1">
        <v>0</v>
      </c>
      <c r="T586" s="1">
        <v>0</v>
      </c>
      <c r="V586" s="1">
        <v>1</v>
      </c>
      <c r="X586" s="1">
        <v>0</v>
      </c>
    </row>
    <row r="587" spans="2:24" hidden="1" x14ac:dyDescent="0.25">
      <c r="C587" s="1"/>
      <c r="E587" s="1"/>
    </row>
    <row r="588" spans="2:24" hidden="1" x14ac:dyDescent="0.25">
      <c r="B588" s="1" t="s">
        <v>225</v>
      </c>
      <c r="C588" s="1"/>
      <c r="D588" s="1">
        <v>1</v>
      </c>
      <c r="E588" s="1"/>
      <c r="F588" s="1">
        <v>0</v>
      </c>
      <c r="H588" s="1">
        <v>1</v>
      </c>
      <c r="J588" s="1">
        <v>0</v>
      </c>
      <c r="L588" s="1">
        <v>0</v>
      </c>
      <c r="N588" s="1">
        <v>1</v>
      </c>
      <c r="P588" s="1">
        <v>0</v>
      </c>
      <c r="R588" s="1">
        <v>0</v>
      </c>
      <c r="T588" s="1">
        <v>1</v>
      </c>
      <c r="V588" s="1">
        <v>0</v>
      </c>
      <c r="X588" s="1">
        <v>0</v>
      </c>
    </row>
    <row r="589" spans="2:24" hidden="1" x14ac:dyDescent="0.25">
      <c r="C589" s="1"/>
      <c r="E589" s="1"/>
    </row>
    <row r="590" spans="2:24" hidden="1" x14ac:dyDescent="0.25">
      <c r="B590" s="1" t="s">
        <v>226</v>
      </c>
      <c r="C590" s="1"/>
      <c r="D590" s="1">
        <v>0</v>
      </c>
      <c r="E590" s="1"/>
      <c r="F590" s="1">
        <v>0</v>
      </c>
      <c r="H590" s="1">
        <v>0</v>
      </c>
      <c r="J590" s="1">
        <v>0</v>
      </c>
      <c r="L590" s="1">
        <v>0</v>
      </c>
      <c r="N590" s="1">
        <v>0</v>
      </c>
      <c r="P590" s="1">
        <v>0</v>
      </c>
      <c r="R590" s="1">
        <v>0</v>
      </c>
      <c r="T590" s="1">
        <v>0</v>
      </c>
      <c r="V590" s="1">
        <v>0</v>
      </c>
      <c r="X590" s="1">
        <v>0</v>
      </c>
    </row>
    <row r="591" spans="2:24" hidden="1" x14ac:dyDescent="0.25">
      <c r="C591" s="1"/>
      <c r="E591" s="1"/>
    </row>
    <row r="592" spans="2:24" hidden="1" x14ac:dyDescent="0.25">
      <c r="B592" s="1" t="s">
        <v>227</v>
      </c>
      <c r="C592" s="1"/>
      <c r="D592" s="1">
        <v>0</v>
      </c>
      <c r="E592" s="1"/>
      <c r="F592" s="1">
        <v>0</v>
      </c>
      <c r="H592" s="1">
        <v>0</v>
      </c>
      <c r="J592" s="1">
        <v>0</v>
      </c>
      <c r="L592" s="1">
        <v>0</v>
      </c>
      <c r="N592" s="1">
        <v>0</v>
      </c>
      <c r="P592" s="1">
        <v>0</v>
      </c>
      <c r="R592" s="1">
        <v>0</v>
      </c>
      <c r="T592" s="1">
        <v>0</v>
      </c>
      <c r="V592" s="1">
        <v>0</v>
      </c>
      <c r="X592" s="1">
        <v>0</v>
      </c>
    </row>
    <row r="593" spans="2:24" hidden="1" x14ac:dyDescent="0.25">
      <c r="C593" s="1"/>
      <c r="E593" s="1"/>
    </row>
    <row r="594" spans="2:24" hidden="1" x14ac:dyDescent="0.25">
      <c r="B594" s="1" t="s">
        <v>228</v>
      </c>
      <c r="C594" s="1"/>
      <c r="D594" s="1">
        <v>1</v>
      </c>
      <c r="E594" s="1"/>
      <c r="F594" s="1">
        <v>0</v>
      </c>
      <c r="H594" s="1">
        <v>0</v>
      </c>
      <c r="J594" s="1">
        <v>0</v>
      </c>
      <c r="L594" s="1">
        <v>1</v>
      </c>
      <c r="N594" s="1">
        <v>0</v>
      </c>
      <c r="P594" s="1">
        <v>0</v>
      </c>
      <c r="R594" s="1">
        <v>1</v>
      </c>
      <c r="T594" s="1">
        <v>0</v>
      </c>
      <c r="V594" s="1">
        <v>0</v>
      </c>
      <c r="X594" s="1">
        <v>1</v>
      </c>
    </row>
    <row r="595" spans="2:24" hidden="1" x14ac:dyDescent="0.25">
      <c r="C595" s="1"/>
      <c r="E595" s="1"/>
    </row>
    <row r="596" spans="2:24" hidden="1" x14ac:dyDescent="0.25">
      <c r="B596" s="1" t="s">
        <v>229</v>
      </c>
      <c r="C596" s="1"/>
      <c r="D596" s="1">
        <v>1</v>
      </c>
      <c r="E596" s="1"/>
      <c r="F596" s="1">
        <v>0</v>
      </c>
      <c r="H596" s="1">
        <v>1</v>
      </c>
      <c r="J596" s="1">
        <v>0</v>
      </c>
      <c r="L596" s="1">
        <v>0</v>
      </c>
      <c r="N596" s="1">
        <v>0</v>
      </c>
      <c r="P596" s="1">
        <v>0</v>
      </c>
      <c r="R596" s="1">
        <v>0</v>
      </c>
      <c r="T596" s="1">
        <v>1</v>
      </c>
      <c r="V596" s="1">
        <v>1</v>
      </c>
      <c r="X596" s="1">
        <v>0</v>
      </c>
    </row>
    <row r="597" spans="2:24" hidden="1" x14ac:dyDescent="0.25">
      <c r="C597" s="1"/>
      <c r="E597" s="1"/>
    </row>
    <row r="598" spans="2:24" hidden="1" x14ac:dyDescent="0.25">
      <c r="B598" s="1" t="s">
        <v>230</v>
      </c>
      <c r="C598" s="1"/>
      <c r="D598" s="1">
        <v>1</v>
      </c>
      <c r="E598" s="1"/>
      <c r="F598" s="1">
        <v>0</v>
      </c>
      <c r="H598" s="1">
        <v>0</v>
      </c>
      <c r="J598" s="1">
        <v>0</v>
      </c>
      <c r="L598" s="1">
        <v>0</v>
      </c>
      <c r="N598" s="1">
        <v>0</v>
      </c>
      <c r="P598" s="1">
        <v>0</v>
      </c>
      <c r="R598" s="1">
        <v>0</v>
      </c>
      <c r="T598" s="1">
        <v>0</v>
      </c>
      <c r="V598" s="1">
        <v>0</v>
      </c>
      <c r="X598" s="1">
        <v>0</v>
      </c>
    </row>
    <row r="599" spans="2:24" hidden="1" x14ac:dyDescent="0.25">
      <c r="C599" s="1"/>
      <c r="E599" s="1"/>
    </row>
    <row r="600" spans="2:24" hidden="1" x14ac:dyDescent="0.25">
      <c r="B600" s="1" t="s">
        <v>231</v>
      </c>
      <c r="C600" s="1"/>
      <c r="D600" s="1">
        <v>0</v>
      </c>
      <c r="E600" s="1"/>
      <c r="F600" s="1">
        <v>0</v>
      </c>
      <c r="H600" s="1">
        <v>0</v>
      </c>
      <c r="J600" s="1">
        <v>0</v>
      </c>
      <c r="L600" s="1">
        <v>0</v>
      </c>
      <c r="N600" s="1">
        <v>0</v>
      </c>
      <c r="P600" s="1">
        <v>0</v>
      </c>
      <c r="R600" s="1">
        <v>0</v>
      </c>
      <c r="T600" s="1">
        <v>0</v>
      </c>
      <c r="V600" s="1">
        <v>0</v>
      </c>
      <c r="X600" s="1">
        <v>0</v>
      </c>
    </row>
    <row r="601" spans="2:24" hidden="1" x14ac:dyDescent="0.25">
      <c r="C601" s="1"/>
      <c r="E601" s="1"/>
    </row>
    <row r="602" spans="2:24" hidden="1" x14ac:dyDescent="0.25">
      <c r="B602" s="1" t="s">
        <v>232</v>
      </c>
      <c r="C602" s="1"/>
      <c r="D602" s="1">
        <v>1</v>
      </c>
      <c r="E602" s="1"/>
      <c r="F602" s="1">
        <v>0</v>
      </c>
      <c r="H602" s="1">
        <v>0</v>
      </c>
      <c r="J602" s="1">
        <v>0</v>
      </c>
      <c r="L602" s="1">
        <v>1</v>
      </c>
      <c r="N602" s="1">
        <v>0</v>
      </c>
      <c r="P602" s="1">
        <v>0</v>
      </c>
      <c r="R602" s="1">
        <v>0</v>
      </c>
      <c r="T602" s="1">
        <v>0</v>
      </c>
      <c r="V602" s="1">
        <v>0</v>
      </c>
      <c r="X602" s="1">
        <v>1</v>
      </c>
    </row>
    <row r="603" spans="2:24" hidden="1" x14ac:dyDescent="0.25">
      <c r="C603" s="1"/>
      <c r="E603" s="1"/>
    </row>
    <row r="604" spans="2:24" hidden="1" x14ac:dyDescent="0.25">
      <c r="B604" s="1" t="s">
        <v>233</v>
      </c>
      <c r="C604" s="1"/>
      <c r="D604" s="1">
        <v>1</v>
      </c>
      <c r="E604" s="1"/>
      <c r="F604" s="1">
        <v>1</v>
      </c>
      <c r="H604" s="1">
        <v>1</v>
      </c>
      <c r="J604" s="25">
        <v>0</v>
      </c>
      <c r="L604" s="25">
        <v>0</v>
      </c>
      <c r="N604" s="1">
        <v>0</v>
      </c>
      <c r="P604" s="1">
        <v>0</v>
      </c>
      <c r="R604" s="1">
        <v>0</v>
      </c>
      <c r="T604" s="1">
        <v>0</v>
      </c>
      <c r="V604" s="1">
        <v>0</v>
      </c>
      <c r="X604" s="1">
        <v>0</v>
      </c>
    </row>
    <row r="605" spans="2:24" hidden="1" x14ac:dyDescent="0.25">
      <c r="C605" s="1"/>
      <c r="E605" s="1"/>
      <c r="J605" s="25"/>
      <c r="L605" s="25"/>
    </row>
    <row r="606" spans="2:24" hidden="1" x14ac:dyDescent="0.25">
      <c r="B606" s="1" t="s">
        <v>234</v>
      </c>
      <c r="C606" s="1"/>
      <c r="D606" s="1">
        <v>1</v>
      </c>
      <c r="E606" s="1"/>
      <c r="F606" s="1">
        <v>0</v>
      </c>
      <c r="H606" s="1">
        <v>0</v>
      </c>
      <c r="J606" s="25">
        <v>1</v>
      </c>
      <c r="L606" s="25">
        <v>1</v>
      </c>
      <c r="N606" s="1">
        <v>0</v>
      </c>
      <c r="P606" s="1">
        <v>0</v>
      </c>
      <c r="R606" s="1">
        <v>0</v>
      </c>
      <c r="T606" s="1">
        <v>0</v>
      </c>
      <c r="V606" s="1">
        <v>0</v>
      </c>
      <c r="X606" s="1">
        <v>0</v>
      </c>
    </row>
    <row r="607" spans="2:24" s="28" customFormat="1" hidden="1" x14ac:dyDescent="0.25">
      <c r="D607" s="28">
        <f>SUM(D586:D606)</f>
        <v>8</v>
      </c>
      <c r="F607" s="28">
        <f>SUM(F586:F606)</f>
        <v>1</v>
      </c>
      <c r="H607" s="28">
        <f>SUM(H586:H606)</f>
        <v>3</v>
      </c>
      <c r="J607" s="28">
        <f>SUM(J586:J606)</f>
        <v>1</v>
      </c>
      <c r="L607" s="28">
        <f>SUM(L586:L606)</f>
        <v>3</v>
      </c>
      <c r="N607" s="28">
        <f>SUM(N586:N606)</f>
        <v>1</v>
      </c>
      <c r="P607" s="28">
        <f>SUM(P586:P606)</f>
        <v>1</v>
      </c>
      <c r="R607" s="28">
        <f>SUM(R586:R606)</f>
        <v>1</v>
      </c>
      <c r="T607" s="28">
        <f>SUM(T586:T606)</f>
        <v>2</v>
      </c>
      <c r="V607" s="28">
        <f>SUM(V586:V606)</f>
        <v>2</v>
      </c>
      <c r="X607" s="28">
        <f>SUM(X586:X606)</f>
        <v>2</v>
      </c>
    </row>
    <row r="608" spans="2:24" hidden="1" x14ac:dyDescent="0.25">
      <c r="C608" s="1"/>
      <c r="E608" s="1"/>
      <c r="J608" s="25" t="s">
        <v>235</v>
      </c>
      <c r="K608" s="25"/>
      <c r="L608" s="25" t="s">
        <v>235</v>
      </c>
    </row>
    <row r="609" spans="1:24" s="29" customFormat="1" hidden="1" x14ac:dyDescent="0.25">
      <c r="B609" s="30" t="s">
        <v>236</v>
      </c>
      <c r="D609" s="29">
        <v>0.04</v>
      </c>
      <c r="F609" s="29">
        <v>0.04</v>
      </c>
      <c r="H609" s="29" t="s">
        <v>237</v>
      </c>
      <c r="J609" s="29">
        <v>0.04</v>
      </c>
      <c r="L609" s="29">
        <v>0.04</v>
      </c>
      <c r="N609" s="29" t="s">
        <v>237</v>
      </c>
      <c r="P609" s="29" t="s">
        <v>237</v>
      </c>
      <c r="R609" s="29" t="s">
        <v>237</v>
      </c>
      <c r="T609" s="29" t="s">
        <v>237</v>
      </c>
      <c r="V609" s="29" t="s">
        <v>237</v>
      </c>
      <c r="X609" s="29" t="s">
        <v>237</v>
      </c>
    </row>
    <row r="610" spans="1:24" s="29" customFormat="1" hidden="1" x14ac:dyDescent="0.25"/>
    <row r="611" spans="1:24" s="29" customFormat="1" hidden="1" x14ac:dyDescent="0.25">
      <c r="B611" s="30" t="s">
        <v>238</v>
      </c>
      <c r="D611" s="29">
        <v>0.04</v>
      </c>
      <c r="F611" s="29">
        <v>0.04</v>
      </c>
      <c r="H611" s="29" t="s">
        <v>237</v>
      </c>
      <c r="J611" s="29">
        <v>0.04</v>
      </c>
      <c r="L611" s="29">
        <v>0.04</v>
      </c>
      <c r="N611" s="29" t="s">
        <v>237</v>
      </c>
      <c r="P611" s="29" t="s">
        <v>237</v>
      </c>
      <c r="R611" s="29" t="s">
        <v>237</v>
      </c>
      <c r="T611" s="29" t="s">
        <v>237</v>
      </c>
      <c r="V611" s="29" t="s">
        <v>237</v>
      </c>
      <c r="X611" s="29" t="s">
        <v>237</v>
      </c>
    </row>
    <row r="612" spans="1:24" s="29" customFormat="1" hidden="1" x14ac:dyDescent="0.25"/>
    <row r="613" spans="1:24" s="29" customFormat="1" hidden="1" x14ac:dyDescent="0.25">
      <c r="B613" s="30" t="s">
        <v>155</v>
      </c>
      <c r="D613" s="29">
        <v>0.01</v>
      </c>
      <c r="F613" s="29">
        <v>0.01</v>
      </c>
      <c r="H613" s="29" t="s">
        <v>237</v>
      </c>
      <c r="J613" s="29">
        <v>0.01</v>
      </c>
      <c r="L613" s="29">
        <v>0.01</v>
      </c>
      <c r="N613" s="29" t="s">
        <v>237</v>
      </c>
      <c r="P613" s="29" t="s">
        <v>237</v>
      </c>
      <c r="R613" s="29" t="s">
        <v>237</v>
      </c>
      <c r="T613" s="29" t="s">
        <v>237</v>
      </c>
      <c r="V613" s="29" t="s">
        <v>237</v>
      </c>
      <c r="X613" s="29" t="s">
        <v>237</v>
      </c>
    </row>
    <row r="614" spans="1:24" hidden="1" x14ac:dyDescent="0.25">
      <c r="C614" s="1"/>
      <c r="E614" s="1"/>
    </row>
    <row r="615" spans="1:24" hidden="1" x14ac:dyDescent="0.25">
      <c r="C615" s="1"/>
      <c r="E615" s="1"/>
    </row>
    <row r="616" spans="1:24" hidden="1" x14ac:dyDescent="0.25">
      <c r="C616" s="1"/>
      <c r="E616" s="1"/>
    </row>
    <row r="617" spans="1:24" hidden="1" x14ac:dyDescent="0.25">
      <c r="B617" s="1" t="s">
        <v>239</v>
      </c>
      <c r="C617" s="1"/>
      <c r="D617" s="1" t="s">
        <v>203</v>
      </c>
      <c r="E617" s="1"/>
      <c r="F617" s="1" t="s">
        <v>203</v>
      </c>
      <c r="H617" s="1" t="s">
        <v>203</v>
      </c>
      <c r="J617" s="1" t="s">
        <v>204</v>
      </c>
      <c r="L617" s="1" t="s">
        <v>204</v>
      </c>
      <c r="N617" s="1" t="s">
        <v>204</v>
      </c>
      <c r="P617" s="1" t="s">
        <v>204</v>
      </c>
      <c r="R617" s="1" t="s">
        <v>204</v>
      </c>
      <c r="T617" s="1" t="s">
        <v>205</v>
      </c>
      <c r="V617" s="1" t="s">
        <v>205</v>
      </c>
      <c r="X617" s="1" t="s">
        <v>205</v>
      </c>
    </row>
    <row r="618" spans="1:24" s="23" customFormat="1" hidden="1" x14ac:dyDescent="0.25">
      <c r="A618" s="23" t="s">
        <v>247</v>
      </c>
      <c r="B618" s="23" t="s">
        <v>240</v>
      </c>
      <c r="D618" s="23">
        <f>IF($C$619=$C$623,1,0)+IF(D617=$C$619,1,0)</f>
        <v>1</v>
      </c>
      <c r="F618" s="23">
        <f>IF($C$619=$C$623,1,0)+IF(F617=$C$619,1,0)</f>
        <v>1</v>
      </c>
      <c r="H618" s="23">
        <f>IF($C$619=$C$623,1,0)+IF(H617=$C$619,1,0)</f>
        <v>1</v>
      </c>
      <c r="J618" s="23">
        <f>IF($C$619=$C$623,1,0)+IF(J617=$C$619,1,0)</f>
        <v>1</v>
      </c>
      <c r="L618" s="23">
        <f>IF($C$619=$C$623,1,0)+IF(L617=$C$619,1,0)</f>
        <v>1</v>
      </c>
      <c r="N618" s="23">
        <f>IF($C$619=$C$623,1,0)+IF(N617=$C$619,1,0)</f>
        <v>1</v>
      </c>
      <c r="P618" s="23">
        <f>IF($C$619=$C$623,1,0)+IF(P617=$C$619,1,0)</f>
        <v>1</v>
      </c>
      <c r="R618" s="23">
        <f>IF($C$619=$C$623,1,0)+IF(R617=$C$619,1,0)</f>
        <v>1</v>
      </c>
      <c r="T618" s="23">
        <f>IF($C$619=$C$623,1,0)+IF(T617=$C$619,1,0)</f>
        <v>1</v>
      </c>
      <c r="V618" s="23">
        <f>IF($C$619=$C$623,1,0)+IF(V617=$C$619,1,0)</f>
        <v>1</v>
      </c>
      <c r="X618" s="23">
        <f>IF($C$619=$C$623,1,0)+IF(X617=$C$619,1,0)</f>
        <v>1</v>
      </c>
    </row>
    <row r="619" spans="1:24" hidden="1" x14ac:dyDescent="0.25">
      <c r="C619" s="4" t="str">
        <f>C255</f>
        <v>neutraal</v>
      </c>
      <c r="E619" s="1"/>
    </row>
    <row r="620" spans="1:24" hidden="1" x14ac:dyDescent="0.25">
      <c r="C620" s="1" t="str">
        <f>C256</f>
        <v>defensief</v>
      </c>
      <c r="E620" s="1"/>
    </row>
    <row r="621" spans="1:24" hidden="1" x14ac:dyDescent="0.25">
      <c r="C621" s="1" t="str">
        <f>C257</f>
        <v>dynamisch</v>
      </c>
      <c r="E621" s="1"/>
    </row>
    <row r="622" spans="1:24" hidden="1" x14ac:dyDescent="0.25">
      <c r="C622" s="1" t="str">
        <f>C258</f>
        <v>high profile</v>
      </c>
      <c r="E622" s="1"/>
    </row>
    <row r="623" spans="1:24" hidden="1" x14ac:dyDescent="0.25">
      <c r="C623" s="1" t="str">
        <f>C259</f>
        <v>neutraal</v>
      </c>
      <c r="E623" s="1"/>
    </row>
    <row r="624" spans="1:24" hidden="1" x14ac:dyDescent="0.25">
      <c r="C624" s="1"/>
      <c r="E624" s="1"/>
    </row>
    <row r="625" spans="1:24" hidden="1" x14ac:dyDescent="0.25">
      <c r="C625" s="1"/>
      <c r="D625" s="1">
        <v>2</v>
      </c>
      <c r="E625" s="1"/>
      <c r="F625" s="1">
        <v>4</v>
      </c>
      <c r="H625" s="1">
        <v>6</v>
      </c>
      <c r="J625" s="1">
        <v>8</v>
      </c>
      <c r="L625" s="1">
        <v>10</v>
      </c>
      <c r="N625" s="1">
        <v>12</v>
      </c>
      <c r="P625" s="1">
        <v>14</v>
      </c>
      <c r="R625" s="1">
        <v>16</v>
      </c>
      <c r="T625" s="1">
        <v>18</v>
      </c>
      <c r="V625" s="1">
        <v>20</v>
      </c>
      <c r="X625" s="1">
        <v>22</v>
      </c>
    </row>
    <row r="626" spans="1:24" s="23" customFormat="1" hidden="1" x14ac:dyDescent="0.25">
      <c r="A626" s="23" t="s">
        <v>248</v>
      </c>
      <c r="B626" s="23" t="str">
        <f>B74</f>
        <v>Waarom wordt voor de vormgeving vruchtgebruik-blote eigendom gekozen (belangrijkste reden)?</v>
      </c>
      <c r="C626" s="35" t="str">
        <f>C74</f>
        <v>te weinig eigen inbreng als vruchtgebruiker - matuur bedrijf</v>
      </c>
      <c r="D626" s="23">
        <f>VLOOKUP($C$626,$C$627:D634,$D$625,FALSE)</f>
        <v>1</v>
      </c>
      <c r="F626" s="23">
        <f>VLOOKUP($C$626,$C$627:F634,$F$625,FALSE)</f>
        <v>1</v>
      </c>
      <c r="H626" s="23">
        <f>VLOOKUP($C$626,$C$627:H634,$H$625,FALSE)</f>
        <v>1</v>
      </c>
      <c r="J626" s="23">
        <f>VLOOKUP($C$626,$C$627:J634,$J$625,TRUE)</f>
        <v>1</v>
      </c>
      <c r="L626" s="23">
        <f>VLOOKUP($C$626,$C$627:L634,$L$625,FALSE)</f>
        <v>1</v>
      </c>
      <c r="N626" s="23">
        <f>VLOOKUP($C$626,$C$627:N634,$N$625,FALSE)</f>
        <v>1</v>
      </c>
      <c r="P626" s="23">
        <f>VLOOKUP($C$626,$C$627:P634,$P$625,FALSE)</f>
        <v>1</v>
      </c>
      <c r="R626" s="23">
        <f>VLOOKUP($C$626,$C$627:R634,$R$625,FALSE)</f>
        <v>1</v>
      </c>
      <c r="T626" s="23">
        <f>VLOOKUP($C$626,$C$627:T634,$T$625,FALSE)</f>
        <v>1</v>
      </c>
      <c r="V626" s="23">
        <f>VLOOKUP($C$626,$C$627:V634,$V$625,FALSE)</f>
        <v>1</v>
      </c>
      <c r="X626" s="23">
        <f>VLOOKUP($C$626,$C$627:X634,$X$625,FALSE)</f>
        <v>1</v>
      </c>
    </row>
    <row r="627" spans="1:24" s="37" customFormat="1" hidden="1" x14ac:dyDescent="0.25">
      <c r="C627" s="37" t="str">
        <f>C75</f>
        <v>afscherming van ondernemingsrisico</v>
      </c>
      <c r="D627" s="37">
        <v>1</v>
      </c>
      <c r="F627" s="37">
        <v>1</v>
      </c>
      <c r="H627" s="37">
        <v>1</v>
      </c>
      <c r="J627" s="37">
        <v>1</v>
      </c>
      <c r="L627" s="37">
        <v>1</v>
      </c>
      <c r="N627" s="37">
        <v>1</v>
      </c>
      <c r="P627" s="37">
        <v>1</v>
      </c>
      <c r="R627" s="37">
        <v>1</v>
      </c>
      <c r="T627" s="37">
        <v>1</v>
      </c>
      <c r="V627" s="37">
        <v>1</v>
      </c>
      <c r="X627" s="37">
        <v>1</v>
      </c>
    </row>
    <row r="628" spans="1:24" s="37" customFormat="1" hidden="1" x14ac:dyDescent="0.25">
      <c r="C628" s="37" t="str">
        <f t="shared" ref="C628:C634" si="11">C76</f>
        <v>verkoopbaarheid aandelen/maximalisatie prijs</v>
      </c>
      <c r="D628" s="37">
        <v>1</v>
      </c>
      <c r="F628" s="37">
        <v>1</v>
      </c>
      <c r="H628" s="37">
        <v>1</v>
      </c>
      <c r="J628" s="37">
        <v>1</v>
      </c>
      <c r="L628" s="37">
        <v>1</v>
      </c>
      <c r="N628" s="37">
        <v>1</v>
      </c>
      <c r="P628" s="37">
        <v>1</v>
      </c>
      <c r="R628" s="37">
        <v>1</v>
      </c>
      <c r="T628" s="37">
        <v>1</v>
      </c>
      <c r="V628" s="37">
        <v>1</v>
      </c>
      <c r="X628" s="37">
        <v>1</v>
      </c>
    </row>
    <row r="629" spans="1:24" s="37" customFormat="1" hidden="1" x14ac:dyDescent="0.25">
      <c r="C629" s="37" t="str">
        <f t="shared" si="11"/>
        <v>goedkoper dan huur</v>
      </c>
      <c r="D629" s="37">
        <v>1</v>
      </c>
      <c r="F629" s="37">
        <v>1</v>
      </c>
      <c r="H629" s="37">
        <v>1</v>
      </c>
      <c r="J629" s="37">
        <v>1</v>
      </c>
      <c r="L629" s="37">
        <v>1</v>
      </c>
      <c r="N629" s="37">
        <v>1</v>
      </c>
      <c r="P629" s="37">
        <v>1</v>
      </c>
      <c r="R629" s="37">
        <v>1</v>
      </c>
      <c r="T629" s="37">
        <v>1</v>
      </c>
      <c r="V629" s="37">
        <v>1</v>
      </c>
      <c r="X629" s="37">
        <v>1</v>
      </c>
    </row>
    <row r="630" spans="1:24" s="37" customFormat="1" hidden="1" x14ac:dyDescent="0.25">
      <c r="C630" s="37" t="str">
        <f t="shared" si="11"/>
        <v>te weinig eigen inbreng als vruchtgebruiker - matuur bedrijf</v>
      </c>
      <c r="D630" s="37">
        <v>1</v>
      </c>
      <c r="F630" s="37">
        <v>1</v>
      </c>
      <c r="H630" s="37">
        <v>1</v>
      </c>
      <c r="J630" s="37">
        <v>1</v>
      </c>
      <c r="L630" s="37">
        <v>1</v>
      </c>
      <c r="N630" s="37">
        <v>1</v>
      </c>
      <c r="P630" s="37">
        <v>1</v>
      </c>
      <c r="R630" s="37">
        <v>1</v>
      </c>
      <c r="T630" s="37">
        <v>1</v>
      </c>
      <c r="V630" s="37">
        <v>1</v>
      </c>
      <c r="X630" s="37">
        <v>1</v>
      </c>
    </row>
    <row r="631" spans="1:24" s="37" customFormat="1" hidden="1" x14ac:dyDescent="0.25">
      <c r="C631" s="37" t="str">
        <f t="shared" si="11"/>
        <v>te weinig inbreng als vruchtgebruiker - start-up of risicovol groeibedrijf</v>
      </c>
      <c r="D631" s="37">
        <v>1</v>
      </c>
      <c r="F631" s="37">
        <v>1</v>
      </c>
      <c r="H631" s="37">
        <v>1</v>
      </c>
      <c r="J631" s="37">
        <v>1</v>
      </c>
      <c r="L631" s="37">
        <v>1</v>
      </c>
      <c r="N631" s="37">
        <v>1</v>
      </c>
      <c r="P631" s="37">
        <v>1</v>
      </c>
      <c r="R631" s="37">
        <v>1</v>
      </c>
      <c r="T631" s="37">
        <v>1</v>
      </c>
      <c r="V631" s="37">
        <v>1</v>
      </c>
      <c r="X631" s="37">
        <v>1</v>
      </c>
    </row>
    <row r="632" spans="1:24" s="37" customFormat="1" hidden="1" x14ac:dyDescent="0.25">
      <c r="C632" s="37" t="str">
        <f t="shared" si="11"/>
        <v>familiale regeling</v>
      </c>
      <c r="D632" s="37">
        <v>1</v>
      </c>
      <c r="F632" s="37">
        <v>1</v>
      </c>
      <c r="H632" s="37">
        <v>1</v>
      </c>
      <c r="J632" s="37">
        <v>1</v>
      </c>
      <c r="L632" s="37">
        <v>1</v>
      </c>
      <c r="N632" s="37">
        <v>1</v>
      </c>
      <c r="P632" s="37">
        <v>1</v>
      </c>
      <c r="R632" s="37">
        <v>1</v>
      </c>
      <c r="T632" s="37">
        <v>1</v>
      </c>
      <c r="V632" s="37">
        <v>1</v>
      </c>
      <c r="X632" s="37">
        <v>1</v>
      </c>
    </row>
    <row r="633" spans="1:24" s="37" customFormat="1" hidden="1" x14ac:dyDescent="0.25">
      <c r="C633" s="37" t="str">
        <f t="shared" si="11"/>
        <v>combinatie</v>
      </c>
      <c r="D633" s="37">
        <v>1</v>
      </c>
      <c r="F633" s="37">
        <v>1</v>
      </c>
      <c r="H633" s="37">
        <v>1</v>
      </c>
      <c r="J633" s="37">
        <v>1</v>
      </c>
      <c r="L633" s="37">
        <v>1</v>
      </c>
      <c r="N633" s="37">
        <v>1</v>
      </c>
      <c r="P633" s="37">
        <v>1</v>
      </c>
      <c r="R633" s="37">
        <v>1</v>
      </c>
      <c r="T633" s="37">
        <v>1</v>
      </c>
      <c r="V633" s="37">
        <v>1</v>
      </c>
      <c r="X633" s="37">
        <v>1</v>
      </c>
    </row>
    <row r="634" spans="1:24" s="37" customFormat="1" hidden="1" x14ac:dyDescent="0.25">
      <c r="C634" s="37" t="str">
        <f t="shared" si="11"/>
        <v>andere</v>
      </c>
      <c r="D634" s="37">
        <v>1</v>
      </c>
      <c r="F634" s="37">
        <v>1</v>
      </c>
      <c r="H634" s="37">
        <v>1</v>
      </c>
      <c r="J634" s="37">
        <v>1</v>
      </c>
      <c r="L634" s="37">
        <v>1</v>
      </c>
      <c r="N634" s="37">
        <v>1</v>
      </c>
      <c r="P634" s="37">
        <v>1</v>
      </c>
      <c r="R634" s="37">
        <v>1</v>
      </c>
      <c r="T634" s="37">
        <v>1</v>
      </c>
      <c r="V634" s="37">
        <v>1</v>
      </c>
      <c r="X634" s="37">
        <v>1</v>
      </c>
    </row>
    <row r="635" spans="1:24" s="34" customFormat="1" ht="12" hidden="1" x14ac:dyDescent="0.2"/>
    <row r="636" spans="1:24" s="5" customFormat="1" hidden="1" x14ac:dyDescent="0.25"/>
    <row r="637" spans="1:24" s="36" customFormat="1" hidden="1" x14ac:dyDescent="0.25">
      <c r="A637" s="36" t="s">
        <v>249</v>
      </c>
      <c r="B637" s="36" t="str">
        <f>B87</f>
        <v>Welke partij is financieel het sterkst?</v>
      </c>
      <c r="C637" s="35" t="str">
        <f>C87</f>
        <v>vruchtgebruiker financieel sterkst</v>
      </c>
      <c r="D637" s="23">
        <f>VLOOKUP($C$637,$C$638:D640,D625,FALSE)</f>
        <v>1</v>
      </c>
      <c r="F637" s="23">
        <f>VLOOKUP($C$637,$C$638:F640,F625,FALSE)</f>
        <v>1</v>
      </c>
      <c r="H637" s="23">
        <f>VLOOKUP($C$637,$C$638:H640,H625,FALSE)</f>
        <v>1</v>
      </c>
      <c r="J637" s="23">
        <f>VLOOKUP($C$637,$C$638:J640,J625,FALSE)</f>
        <v>1</v>
      </c>
      <c r="L637" s="23">
        <f>VLOOKUP($C$637,$C$638:L640,L625,FALSE)</f>
        <v>1</v>
      </c>
      <c r="N637" s="23">
        <f>VLOOKUP($C$637,$C$638:N640,N625,FALSE)</f>
        <v>1</v>
      </c>
      <c r="P637" s="23">
        <f>VLOOKUP($C$637,$C$638:P640,P625,FALSE)</f>
        <v>1</v>
      </c>
      <c r="R637" s="23">
        <f>VLOOKUP($C$637,$C$638:R640,R625,FALSE)</f>
        <v>1</v>
      </c>
      <c r="T637" s="23">
        <f>VLOOKUP($C$637,$C$638:T640,T625,FALSE)</f>
        <v>1</v>
      </c>
      <c r="V637" s="23">
        <f>VLOOKUP($C$637,$C$638:V640,V625,FALSE)</f>
        <v>1</v>
      </c>
      <c r="X637" s="23">
        <f>VLOOKUP($C$637,$C$638:X640,X625,FALSE)</f>
        <v>1</v>
      </c>
    </row>
    <row r="638" spans="1:24" s="37" customFormat="1" hidden="1" x14ac:dyDescent="0.25">
      <c r="C638" s="37" t="str">
        <f t="shared" ref="C638:C640" si="12">C88</f>
        <v>vruchtgebruiker financieel sterkst</v>
      </c>
      <c r="D638" s="37">
        <v>1</v>
      </c>
      <c r="F638" s="37">
        <v>1</v>
      </c>
      <c r="H638" s="37">
        <v>1</v>
      </c>
      <c r="J638" s="37">
        <v>1</v>
      </c>
      <c r="L638" s="37">
        <v>1</v>
      </c>
      <c r="N638" s="37">
        <v>1</v>
      </c>
      <c r="P638" s="37">
        <v>1</v>
      </c>
      <c r="R638" s="37">
        <v>1</v>
      </c>
      <c r="T638" s="37">
        <v>1</v>
      </c>
      <c r="V638" s="37">
        <v>1</v>
      </c>
      <c r="X638" s="37">
        <v>1</v>
      </c>
    </row>
    <row r="639" spans="1:24" s="37" customFormat="1" hidden="1" x14ac:dyDescent="0.25">
      <c r="C639" s="37" t="str">
        <f t="shared" si="12"/>
        <v>evenwaardig / beide partijen hebben elkaar nodig voor deze structuur</v>
      </c>
      <c r="D639" s="37">
        <v>1</v>
      </c>
      <c r="F639" s="37">
        <v>1</v>
      </c>
      <c r="H639" s="37">
        <v>1</v>
      </c>
      <c r="J639" s="37">
        <v>1</v>
      </c>
      <c r="L639" s="37">
        <v>1</v>
      </c>
      <c r="N639" s="37">
        <v>1</v>
      </c>
      <c r="P639" s="37">
        <v>1</v>
      </c>
      <c r="R639" s="37">
        <v>1</v>
      </c>
      <c r="T639" s="37">
        <v>1</v>
      </c>
      <c r="V639" s="37">
        <v>1</v>
      </c>
      <c r="X639" s="37">
        <v>1</v>
      </c>
    </row>
    <row r="640" spans="1:24" s="37" customFormat="1" hidden="1" x14ac:dyDescent="0.25">
      <c r="C640" s="37" t="str">
        <f t="shared" si="12"/>
        <v>blote eigenaar financieel het sterkst</v>
      </c>
      <c r="D640" s="37">
        <v>1</v>
      </c>
      <c r="F640" s="37">
        <v>1</v>
      </c>
      <c r="H640" s="37">
        <v>1</v>
      </c>
      <c r="J640" s="37">
        <v>1</v>
      </c>
      <c r="L640" s="37">
        <v>1</v>
      </c>
      <c r="N640" s="37">
        <v>1</v>
      </c>
      <c r="P640" s="37">
        <v>1</v>
      </c>
      <c r="R640" s="37">
        <v>1</v>
      </c>
      <c r="T640" s="37">
        <v>1</v>
      </c>
      <c r="V640" s="37">
        <v>1</v>
      </c>
      <c r="X640" s="37">
        <v>1</v>
      </c>
    </row>
    <row r="641" spans="1:24" s="5" customFormat="1" hidden="1" x14ac:dyDescent="0.25"/>
    <row r="642" spans="1:24" s="5" customFormat="1" hidden="1" x14ac:dyDescent="0.25"/>
    <row r="643" spans="1:24" s="36" customFormat="1" hidden="1" x14ac:dyDescent="0.25">
      <c r="A643" s="36" t="s">
        <v>251</v>
      </c>
      <c r="B643" s="36" t="str">
        <f>B93</f>
        <v>Welke partij is het minst de vragende partij om deel te nemen aan de investering?</v>
      </c>
      <c r="C643" s="35" t="str">
        <f>C93</f>
        <v>vruchtgebruiker meest vragende partij</v>
      </c>
      <c r="D643" s="23">
        <f>VLOOKUP($C$643,$C$644:D646,D625,FALSE)</f>
        <v>1</v>
      </c>
      <c r="F643" s="23">
        <f>VLOOKUP($C$643,$C$644:F646,F625,FALSE)</f>
        <v>1</v>
      </c>
      <c r="H643" s="23">
        <f>VLOOKUP($C$643,$C$644:H646,H625,FALSE)</f>
        <v>1</v>
      </c>
      <c r="J643" s="23">
        <f>VLOOKUP($C$643,$C$644:J646,J625,FALSE)</f>
        <v>1</v>
      </c>
      <c r="L643" s="23">
        <f>VLOOKUP($C$643,$C$644:L646,L625,FALSE)</f>
        <v>1</v>
      </c>
      <c r="N643" s="23">
        <f>VLOOKUP($C$643,$C$644:N646,N625,FALSE)</f>
        <v>1</v>
      </c>
      <c r="P643" s="23">
        <f>VLOOKUP($C$643,$C$644:P646,P625,FALSE)</f>
        <v>1</v>
      </c>
      <c r="R643" s="23">
        <f>VLOOKUP($C$643,$C$644:R646,R625,FALSE)</f>
        <v>1</v>
      </c>
      <c r="T643" s="23">
        <f>VLOOKUP($C$643,$C$644:T646,T625,FALSE)</f>
        <v>1</v>
      </c>
      <c r="V643" s="23">
        <f>VLOOKUP($C$643,$C$644:V646,V625,FALSE)</f>
        <v>1</v>
      </c>
      <c r="X643" s="23">
        <f>VLOOKUP($C$643,$C$644:X646,X625,FALSE)</f>
        <v>1</v>
      </c>
    </row>
    <row r="644" spans="1:24" s="37" customFormat="1" hidden="1" x14ac:dyDescent="0.25">
      <c r="C644" s="37" t="str">
        <f t="shared" ref="C644:C646" si="13">C94</f>
        <v>vruchtgebruiker meest vragende partij</v>
      </c>
      <c r="D644" s="37">
        <v>1</v>
      </c>
      <c r="F644" s="37">
        <v>1</v>
      </c>
      <c r="H644" s="37">
        <v>1</v>
      </c>
      <c r="J644" s="37">
        <v>1</v>
      </c>
      <c r="L644" s="37">
        <v>1</v>
      </c>
      <c r="N644" s="37">
        <v>1</v>
      </c>
      <c r="P644" s="37">
        <v>1</v>
      </c>
      <c r="R644" s="37">
        <v>1</v>
      </c>
      <c r="T644" s="37">
        <v>1</v>
      </c>
      <c r="V644" s="37">
        <v>1</v>
      </c>
      <c r="X644" s="37">
        <v>1</v>
      </c>
    </row>
    <row r="645" spans="1:24" s="37" customFormat="1" hidden="1" x14ac:dyDescent="0.25">
      <c r="C645" s="37" t="str">
        <f t="shared" si="13"/>
        <v>evenwaardig / beide partijen hebben elkaar nodig voor deze structuur</v>
      </c>
      <c r="D645" s="37">
        <v>1</v>
      </c>
      <c r="F645" s="37">
        <v>1</v>
      </c>
      <c r="H645" s="37">
        <v>1</v>
      </c>
      <c r="J645" s="37">
        <v>1</v>
      </c>
      <c r="L645" s="37">
        <v>1</v>
      </c>
      <c r="N645" s="37">
        <v>1</v>
      </c>
      <c r="P645" s="37">
        <v>1</v>
      </c>
      <c r="R645" s="37">
        <v>1</v>
      </c>
      <c r="T645" s="37">
        <v>1</v>
      </c>
      <c r="V645" s="37">
        <v>1</v>
      </c>
      <c r="X645" s="37">
        <v>1</v>
      </c>
    </row>
    <row r="646" spans="1:24" s="37" customFormat="1" hidden="1" x14ac:dyDescent="0.25">
      <c r="C646" s="37" t="str">
        <f t="shared" si="13"/>
        <v>blote eigenaar meest vragende partij</v>
      </c>
      <c r="D646" s="37">
        <v>1</v>
      </c>
      <c r="F646" s="37">
        <v>1</v>
      </c>
      <c r="H646" s="37">
        <v>1</v>
      </c>
      <c r="J646" s="37">
        <v>0</v>
      </c>
      <c r="L646" s="37">
        <v>0</v>
      </c>
      <c r="N646" s="37">
        <v>1</v>
      </c>
      <c r="P646" s="37">
        <v>1</v>
      </c>
      <c r="R646" s="37">
        <v>1</v>
      </c>
      <c r="T646" s="37">
        <v>1</v>
      </c>
      <c r="V646" s="37">
        <v>1</v>
      </c>
      <c r="X646" s="37">
        <v>1</v>
      </c>
    </row>
    <row r="647" spans="1:24" s="5" customFormat="1" hidden="1" x14ac:dyDescent="0.25"/>
    <row r="648" spans="1:24" s="5" customFormat="1" hidden="1" x14ac:dyDescent="0.25"/>
    <row r="649" spans="1:24" s="36" customFormat="1" hidden="1" x14ac:dyDescent="0.25">
      <c r="A649" s="36" t="s">
        <v>252</v>
      </c>
      <c r="B649" s="36" t="str">
        <f>B106</f>
        <v>Welke partij financiert effectief de aankoop geheel/gedeeltelijk bij een bank?</v>
      </c>
      <c r="C649" s="35" t="str">
        <f>C106</f>
        <v>Geen van beide financiert bij de bank</v>
      </c>
      <c r="D649" s="23">
        <f>VLOOKUP($C$649,$C$650:D653,D625,FALSE)</f>
        <v>1</v>
      </c>
      <c r="F649" s="23">
        <f>VLOOKUP($C$649,$C$650:F653,F625,FALSE)</f>
        <v>1</v>
      </c>
      <c r="H649" s="23">
        <f>VLOOKUP($C$649,$C$650:H653,H625,FALSE)</f>
        <v>1</v>
      </c>
      <c r="J649" s="23">
        <f>VLOOKUP($C$649,$C$650:J653,J625,FALSE)</f>
        <v>0</v>
      </c>
      <c r="L649" s="23">
        <f>VLOOKUP($C$649,$C$650:L653,L625,FALSE)</f>
        <v>0</v>
      </c>
      <c r="N649" s="23">
        <f>VLOOKUP($C$649,$C$650:R653,N625,FALSE)</f>
        <v>1</v>
      </c>
      <c r="P649" s="23">
        <f>VLOOKUP($C$649,$C$650:P653,P625,FALSE)</f>
        <v>1</v>
      </c>
      <c r="R649" s="23">
        <f>VLOOKUP($C$649,$C$650:R653,R625,FALSE)</f>
        <v>0</v>
      </c>
      <c r="T649" s="23">
        <f>VLOOKUP($C$649,$C$650:T653,T625,FALSE)</f>
        <v>1</v>
      </c>
      <c r="V649" s="23">
        <f>VLOOKUP($C$649,$C$650:V653,V625,FALSE)</f>
        <v>1</v>
      </c>
      <c r="X649" s="23">
        <f>VLOOKUP($C$649,$C$650:X653,X625,FALSE)</f>
        <v>0</v>
      </c>
    </row>
    <row r="650" spans="1:24" s="37" customFormat="1" hidden="1" x14ac:dyDescent="0.25">
      <c r="C650" s="37" t="str">
        <f t="shared" ref="C650:C653" si="14">C107</f>
        <v>Enkel de vruchtgebruiker financiert bij de bank</v>
      </c>
      <c r="D650" s="37">
        <v>1</v>
      </c>
      <c r="F650" s="37">
        <v>1</v>
      </c>
      <c r="H650" s="37">
        <v>1</v>
      </c>
      <c r="J650" s="37">
        <v>1</v>
      </c>
      <c r="L650" s="37">
        <v>1</v>
      </c>
      <c r="N650" s="37">
        <v>1</v>
      </c>
      <c r="P650" s="37">
        <v>1</v>
      </c>
      <c r="R650" s="37">
        <v>1</v>
      </c>
      <c r="T650" s="37">
        <v>1</v>
      </c>
      <c r="V650" s="37">
        <v>1</v>
      </c>
      <c r="X650" s="37">
        <v>1</v>
      </c>
    </row>
    <row r="651" spans="1:24" s="37" customFormat="1" hidden="1" x14ac:dyDescent="0.25">
      <c r="C651" s="37" t="str">
        <f t="shared" si="14"/>
        <v>Enkel de blote eigenaar financiert bij de bank</v>
      </c>
      <c r="D651" s="37">
        <v>1</v>
      </c>
      <c r="F651" s="37">
        <v>1</v>
      </c>
      <c r="H651" s="37">
        <v>1</v>
      </c>
      <c r="J651" s="37">
        <v>1</v>
      </c>
      <c r="L651" s="37">
        <v>1</v>
      </c>
      <c r="N651" s="37">
        <v>1</v>
      </c>
      <c r="P651" s="37">
        <v>1</v>
      </c>
      <c r="R651" s="37">
        <v>0</v>
      </c>
      <c r="T651" s="37">
        <v>1</v>
      </c>
      <c r="V651" s="37">
        <v>1</v>
      </c>
      <c r="X651" s="37">
        <v>0</v>
      </c>
    </row>
    <row r="652" spans="1:24" s="37" customFormat="1" hidden="1" x14ac:dyDescent="0.25">
      <c r="C652" s="37" t="str">
        <f t="shared" si="14"/>
        <v>Beide financieren bij de bank</v>
      </c>
      <c r="D652" s="37">
        <v>1</v>
      </c>
      <c r="F652" s="37">
        <v>1</v>
      </c>
      <c r="H652" s="37">
        <v>1</v>
      </c>
      <c r="J652" s="37">
        <v>1</v>
      </c>
      <c r="L652" s="37">
        <v>1</v>
      </c>
      <c r="N652" s="37">
        <v>1</v>
      </c>
      <c r="P652" s="37">
        <v>1</v>
      </c>
      <c r="R652" s="37">
        <v>1</v>
      </c>
      <c r="T652" s="37">
        <v>1</v>
      </c>
      <c r="V652" s="37">
        <v>1</v>
      </c>
      <c r="X652" s="37">
        <v>1</v>
      </c>
    </row>
    <row r="653" spans="1:24" s="37" customFormat="1" hidden="1" x14ac:dyDescent="0.25">
      <c r="C653" s="37" t="str">
        <f t="shared" si="14"/>
        <v>Geen van beide financiert bij de bank</v>
      </c>
      <c r="D653" s="37">
        <v>1</v>
      </c>
      <c r="F653" s="37">
        <v>1</v>
      </c>
      <c r="H653" s="37">
        <v>1</v>
      </c>
      <c r="J653" s="37">
        <v>0</v>
      </c>
      <c r="L653" s="37">
        <v>0</v>
      </c>
      <c r="N653" s="37">
        <v>1</v>
      </c>
      <c r="P653" s="37">
        <v>1</v>
      </c>
      <c r="R653" s="37">
        <v>0</v>
      </c>
      <c r="T653" s="37">
        <v>1</v>
      </c>
      <c r="V653" s="37">
        <v>1</v>
      </c>
      <c r="X653" s="37">
        <v>0</v>
      </c>
    </row>
    <row r="654" spans="1:24" s="5" customFormat="1" hidden="1" x14ac:dyDescent="0.25"/>
    <row r="655" spans="1:24" s="5" customFormat="1" hidden="1" x14ac:dyDescent="0.25"/>
    <row r="656" spans="1:24" s="38" customFormat="1" hidden="1" x14ac:dyDescent="0.25">
      <c r="A656" s="38" t="s">
        <v>253</v>
      </c>
      <c r="D656" s="38">
        <f>D618+D626+D637+D643+D649</f>
        <v>5</v>
      </c>
      <c r="F656" s="38">
        <f>F618+F626+F637+F643+F649</f>
        <v>5</v>
      </c>
      <c r="H656" s="38">
        <f>H618+H626+H637+H643+H649</f>
        <v>5</v>
      </c>
      <c r="J656" s="38">
        <f>J618+J626+J637+J643+J649</f>
        <v>4</v>
      </c>
      <c r="L656" s="38">
        <f>L618+L626+L637+L643+L649</f>
        <v>4</v>
      </c>
      <c r="N656" s="38">
        <f>N618+N626+N637+N643+N649</f>
        <v>5</v>
      </c>
      <c r="P656" s="38">
        <f>P618+P626+P637+P643+P649</f>
        <v>5</v>
      </c>
      <c r="R656" s="38">
        <f>R618+R626+R637+R643+R649</f>
        <v>4</v>
      </c>
      <c r="T656" s="38">
        <f>T618+T626+T637+T643+T649</f>
        <v>5</v>
      </c>
      <c r="V656" s="38">
        <f>V618+V626+V637+V643+V649</f>
        <v>5</v>
      </c>
      <c r="X656" s="38">
        <f>X618+X626+X637+X643+X649</f>
        <v>4</v>
      </c>
    </row>
    <row r="657" spans="1:24" s="5" customFormat="1" hidden="1" x14ac:dyDescent="0.25">
      <c r="D657" s="5">
        <v>5</v>
      </c>
      <c r="F657" s="5">
        <v>5</v>
      </c>
      <c r="H657" s="5">
        <v>5</v>
      </c>
      <c r="J657" s="5">
        <v>5</v>
      </c>
      <c r="L657" s="5">
        <v>5</v>
      </c>
      <c r="N657" s="5">
        <v>5</v>
      </c>
      <c r="P657" s="5">
        <v>5</v>
      </c>
      <c r="R657" s="5">
        <v>5</v>
      </c>
      <c r="T657" s="5">
        <v>5</v>
      </c>
      <c r="V657" s="5">
        <v>5</v>
      </c>
      <c r="X657" s="5">
        <v>5</v>
      </c>
    </row>
    <row r="658" spans="1:24" s="38" customFormat="1" hidden="1" x14ac:dyDescent="0.25">
      <c r="B658" s="39" t="s">
        <v>241</v>
      </c>
      <c r="D658" s="38">
        <f>IF(D656=D657,1,0)</f>
        <v>1</v>
      </c>
      <c r="F658" s="38">
        <f>IF(F656=F657,1,0)</f>
        <v>1</v>
      </c>
      <c r="H658" s="38">
        <f>IF(H656=H657,1,0)</f>
        <v>1</v>
      </c>
      <c r="J658" s="38">
        <f>IF(J656=J657,1,0)</f>
        <v>0</v>
      </c>
      <c r="L658" s="38">
        <f>IF(L656=L657,1,0)</f>
        <v>0</v>
      </c>
      <c r="N658" s="38">
        <f>IF(N656=N657,1,0)</f>
        <v>1</v>
      </c>
      <c r="P658" s="38">
        <f>IF(P656=P657,1,0)</f>
        <v>1</v>
      </c>
      <c r="R658" s="38">
        <f>IF(R656=R657,1,0)</f>
        <v>0</v>
      </c>
      <c r="T658" s="38">
        <f>IF(T656=T657,1,0)</f>
        <v>1</v>
      </c>
      <c r="V658" s="38">
        <f>IF(V656=V657,1,0)</f>
        <v>1</v>
      </c>
      <c r="X658" s="38">
        <f>IF(X656=X657,1,0)</f>
        <v>0</v>
      </c>
    </row>
    <row r="659" spans="1:24" s="5" customFormat="1" hidden="1" x14ac:dyDescent="0.25"/>
    <row r="660" spans="1:24" s="5" customFormat="1" hidden="1" x14ac:dyDescent="0.25">
      <c r="D660" s="5">
        <f>0+D658</f>
        <v>1</v>
      </c>
      <c r="F660" s="5">
        <f>D660+F658</f>
        <v>2</v>
      </c>
      <c r="H660" s="5">
        <f>F660+H658</f>
        <v>3</v>
      </c>
      <c r="J660" s="5">
        <f>H660+J658</f>
        <v>3</v>
      </c>
      <c r="L660" s="5">
        <f>J660+L658</f>
        <v>3</v>
      </c>
      <c r="N660" s="5">
        <f>L660+N658</f>
        <v>4</v>
      </c>
      <c r="P660" s="5">
        <f>N660+P658</f>
        <v>5</v>
      </c>
      <c r="R660" s="5">
        <f>P660+R658</f>
        <v>5</v>
      </c>
      <c r="T660" s="5">
        <f>R660+T658</f>
        <v>6</v>
      </c>
      <c r="V660" s="5">
        <f>T660+V658</f>
        <v>7</v>
      </c>
      <c r="X660" s="5">
        <f>V660+X658</f>
        <v>7</v>
      </c>
    </row>
    <row r="661" spans="1:24" s="38" customFormat="1" hidden="1" x14ac:dyDescent="0.25">
      <c r="B661" s="39" t="s">
        <v>242</v>
      </c>
      <c r="D661" s="38">
        <f>IF(D658=1,D660,0)</f>
        <v>1</v>
      </c>
      <c r="F661" s="38">
        <f>IF(F658=1,F660,0)</f>
        <v>2</v>
      </c>
      <c r="H661" s="38">
        <f>IF(H658=1,H660,0)</f>
        <v>3</v>
      </c>
      <c r="J661" s="38">
        <f>IF(J658=1,J660,0)</f>
        <v>0</v>
      </c>
      <c r="L661" s="38">
        <f>IF(L658=1,L660,0)</f>
        <v>0</v>
      </c>
      <c r="N661" s="38">
        <f>IF(N658=1,N660,0)</f>
        <v>4</v>
      </c>
      <c r="P661" s="38">
        <f>IF(P658=1,P660,0)</f>
        <v>5</v>
      </c>
      <c r="R661" s="38">
        <f>IF(R658=1,R660,0)</f>
        <v>0</v>
      </c>
      <c r="T661" s="38">
        <f>IF(T658=1,T660,0)</f>
        <v>6</v>
      </c>
      <c r="V661" s="38">
        <f>IF(V658=1,V660,0)</f>
        <v>7</v>
      </c>
      <c r="X661" s="38">
        <f>IF(X658=1,X660,0)</f>
        <v>0</v>
      </c>
    </row>
    <row r="662" spans="1:24" s="5" customFormat="1" hidden="1" x14ac:dyDescent="0.25"/>
    <row r="663" spans="1:24" hidden="1" x14ac:dyDescent="0.25">
      <c r="C663" s="1"/>
      <c r="E663" s="1"/>
    </row>
    <row r="664" spans="1:24" hidden="1" x14ac:dyDescent="0.25">
      <c r="C664" s="1"/>
      <c r="E664" s="1"/>
    </row>
    <row r="665" spans="1:24" hidden="1" x14ac:dyDescent="0.25">
      <c r="C665" s="1"/>
      <c r="E665" s="1"/>
    </row>
    <row r="666" spans="1:24" s="31" customFormat="1" ht="262.89999999999998" hidden="1" customHeight="1" x14ac:dyDescent="0.25">
      <c r="B666" s="32" t="s">
        <v>243</v>
      </c>
      <c r="H666" s="31" t="s">
        <v>246</v>
      </c>
      <c r="L666" s="31" t="s">
        <v>299</v>
      </c>
      <c r="N666" s="33" t="s">
        <v>244</v>
      </c>
      <c r="P666" s="33" t="s">
        <v>244</v>
      </c>
      <c r="R666" s="33" t="s">
        <v>300</v>
      </c>
      <c r="T666" s="31" t="s">
        <v>245</v>
      </c>
      <c r="V666" s="31" t="s">
        <v>245</v>
      </c>
      <c r="X666" s="31" t="s">
        <v>245</v>
      </c>
    </row>
    <row r="667" spans="1:24" hidden="1" x14ac:dyDescent="0.25">
      <c r="E667" s="1"/>
    </row>
    <row r="668" spans="1:24" hidden="1" x14ac:dyDescent="0.25">
      <c r="E668" s="1"/>
    </row>
    <row r="669" spans="1:24" hidden="1" x14ac:dyDescent="0.25"/>
    <row r="671" spans="1:24" x14ac:dyDescent="0.25">
      <c r="A671" s="7" t="s">
        <v>178</v>
      </c>
    </row>
    <row r="673" spans="2:2" x14ac:dyDescent="0.25">
      <c r="B673" s="1" t="s">
        <v>302</v>
      </c>
    </row>
    <row r="674" spans="2:2" x14ac:dyDescent="0.25">
      <c r="B674" s="1" t="s">
        <v>303</v>
      </c>
    </row>
    <row r="676" spans="2:2" x14ac:dyDescent="0.25">
      <c r="B676" s="1" t="s">
        <v>268</v>
      </c>
    </row>
    <row r="678" spans="2:2" x14ac:dyDescent="0.25">
      <c r="B678" s="1" t="s">
        <v>269</v>
      </c>
    </row>
    <row r="696" spans="2:2" x14ac:dyDescent="0.25">
      <c r="B696" s="1" t="s">
        <v>283</v>
      </c>
    </row>
    <row r="717" spans="2:2" x14ac:dyDescent="0.25">
      <c r="B717" s="1" t="s">
        <v>270</v>
      </c>
    </row>
    <row r="735" spans="2:2" x14ac:dyDescent="0.25">
      <c r="B735" s="1" t="s">
        <v>304</v>
      </c>
    </row>
    <row r="745" spans="2:2" x14ac:dyDescent="0.25">
      <c r="B745" s="1" t="s">
        <v>271</v>
      </c>
    </row>
    <row r="747" spans="2:2" x14ac:dyDescent="0.25">
      <c r="B747" s="1" t="s">
        <v>287</v>
      </c>
    </row>
    <row r="749" spans="2:2" x14ac:dyDescent="0.25">
      <c r="B749" s="1" t="s">
        <v>272</v>
      </c>
    </row>
    <row r="750" spans="2:2" x14ac:dyDescent="0.25">
      <c r="B750" s="1" t="s">
        <v>273</v>
      </c>
    </row>
    <row r="751" spans="2:2" x14ac:dyDescent="0.25">
      <c r="B751" s="1" t="s">
        <v>274</v>
      </c>
    </row>
    <row r="752" spans="2:2" x14ac:dyDescent="0.25">
      <c r="B752" s="1" t="s">
        <v>275</v>
      </c>
    </row>
    <row r="754" spans="2:2" x14ac:dyDescent="0.25">
      <c r="B754" s="1" t="s">
        <v>286</v>
      </c>
    </row>
  </sheetData>
  <sheetProtection algorithmName="SHA-512" hashValue="zRbLGORq7IppZyrJ4Z8qjHLPN+1fKA8BpchRHwbstpMKmPhUKpbm/SCrfePflEVy63tM9wfKlHS6yFmQy2q/HA==" saltValue="U70n+wlxkoEL6xvMTOYEPQ==" spinCount="100000" sheet="1" objects="1" scenarios="1"/>
  <dataValidations count="23">
    <dataValidation type="list" allowBlank="1" showInputMessage="1" showErrorMessage="1" sqref="C45" xr:uid="{00000000-0002-0000-0000-000000000000}">
      <formula1>"Nieuwbouw,verbouwing 6%,speciaal tarief 12% (vb. bejaardentehuis)"</formula1>
    </dataValidation>
    <dataValidation type="list" allowBlank="1" showInputMessage="1" showErrorMessage="1" sqref="C51:C55" xr:uid="{00000000-0002-0000-0000-000001000000}">
      <formula1>"Vlaanderen,Brussels Hoofdstedelijk Gewest, Wallonië,speciaal tarief"</formula1>
    </dataValidation>
    <dataValidation type="list" allowBlank="1" showInputMessage="1" showErrorMessage="1" sqref="C62" xr:uid="{00000000-0002-0000-0000-000002000000}">
      <formula1>$C$63:$C$66</formula1>
    </dataValidation>
    <dataValidation type="list" allowBlank="1" showInputMessage="1" showErrorMessage="1" sqref="C74" xr:uid="{00000000-0002-0000-0000-000003000000}">
      <formula1>$C$75:$C$82</formula1>
    </dataValidation>
    <dataValidation type="list" allowBlank="1" showInputMessage="1" showErrorMessage="1" sqref="C87" xr:uid="{00000000-0002-0000-0000-000004000000}">
      <formula1>$C$88:$C$90</formula1>
    </dataValidation>
    <dataValidation type="list" allowBlank="1" showInputMessage="1" showErrorMessage="1" sqref="C93" xr:uid="{00000000-0002-0000-0000-000005000000}">
      <formula1>$C$94:$C$96</formula1>
    </dataValidation>
    <dataValidation type="list" allowBlank="1" showInputMessage="1" showErrorMessage="1" sqref="C99" xr:uid="{00000000-0002-0000-0000-000006000000}">
      <formula1>$C$100:$C$103</formula1>
    </dataValidation>
    <dataValidation type="list" allowBlank="1" showInputMessage="1" showErrorMessage="1" sqref="C106" xr:uid="{00000000-0002-0000-0000-000007000000}">
      <formula1>$C$107:$C$110</formula1>
    </dataValidation>
    <dataValidation type="list" allowBlank="1" showInputMessage="1" showErrorMessage="1" sqref="C113" xr:uid="{00000000-0002-0000-0000-000008000000}">
      <formula1>$C$114:$C$122</formula1>
    </dataValidation>
    <dataValidation type="list" allowBlank="1" showInputMessage="1" showErrorMessage="1" sqref="C125" xr:uid="{00000000-0002-0000-0000-000009000000}">
      <formula1>$C$126:$C$131</formula1>
    </dataValidation>
    <dataValidation type="list" allowBlank="1" showInputMessage="1" showErrorMessage="1" sqref="C168 C196" xr:uid="{00000000-0002-0000-0000-00000A000000}">
      <formula1>$C$169:$C$170</formula1>
    </dataValidation>
    <dataValidation type="list" allowBlank="1" showInputMessage="1" showErrorMessage="1" sqref="C171 C199" xr:uid="{00000000-0002-0000-0000-00000B000000}">
      <formula1>$C$172:$C$173</formula1>
    </dataValidation>
    <dataValidation type="list" allowBlank="1" showInputMessage="1" showErrorMessage="1" sqref="C174 C202" xr:uid="{00000000-0002-0000-0000-00000C000000}">
      <formula1>$C$175:$C$180</formula1>
    </dataValidation>
    <dataValidation type="list" allowBlank="1" showInputMessage="1" showErrorMessage="1" sqref="C181 C209" xr:uid="{00000000-0002-0000-0000-00000D000000}">
      <formula1>$C$182:$C$186</formula1>
    </dataValidation>
    <dataValidation type="list" allowBlank="1" showInputMessage="1" showErrorMessage="1" sqref="C30" xr:uid="{00000000-0002-0000-0000-00000E000000}">
      <formula1>$C$31:$C$32</formula1>
    </dataValidation>
    <dataValidation type="list" allowBlank="1" showInputMessage="1" showErrorMessage="1" sqref="C37" xr:uid="{00000000-0002-0000-0000-00000F000000}">
      <formula1>$C$38:$C$39</formula1>
    </dataValidation>
    <dataValidation type="list" allowBlank="1" showInputMessage="1" showErrorMessage="1" sqref="C143" xr:uid="{00000000-0002-0000-0000-000010000000}">
      <formula1>$C$144:$C$147</formula1>
    </dataValidation>
    <dataValidation type="list" allowBlank="1" showInputMessage="1" showErrorMessage="1" sqref="C227" xr:uid="{00000000-0002-0000-0000-000011000000}">
      <formula1>$C$228:$C$234</formula1>
    </dataValidation>
    <dataValidation type="list" allowBlank="1" showInputMessage="1" showErrorMessage="1" sqref="C245" xr:uid="{00000000-0002-0000-0000-000012000000}">
      <formula1>$C$246:$C$248</formula1>
    </dataValidation>
    <dataValidation type="list" allowBlank="1" showInputMessage="1" showErrorMessage="1" sqref="C71" xr:uid="{00000000-0002-0000-0000-000013000000}">
      <formula1>"1,2,3,4,5,6,7,8,9,10,11,12,13,14,15,16,17,18,19,20,21,22,23,24,25,26,27,28,29,30,31,32,33,34,35,36,37,38,39,40,41,42,43,44,45,46,47,48,49,50)"</formula1>
    </dataValidation>
    <dataValidation type="list" allowBlank="1" showInputMessage="1" showErrorMessage="1" sqref="C134" xr:uid="{00000000-0002-0000-0000-000014000000}">
      <formula1>$C$136:$C$140</formula1>
    </dataValidation>
    <dataValidation type="list" showInputMessage="1" showErrorMessage="1" sqref="C255" xr:uid="{00000000-0002-0000-0000-000015000000}">
      <formula1>$C$256:$C$259</formula1>
    </dataValidation>
    <dataValidation type="list" allowBlank="1" showInputMessage="1" showErrorMessage="1" sqref="C149" xr:uid="{00000000-0002-0000-0000-000016000000}">
      <formula1>$C$150:$C$151</formula1>
    </dataValidation>
  </dataValidations>
  <hyperlinks>
    <hyperlink ref="C59" r:id="rId1" xr:uid="{00000000-0004-0000-0000-000000000000}"/>
  </hyperlinks>
  <pageMargins left="0.70866141732283472" right="0.70866141732283472" top="0.74803149606299213" bottom="0.74803149606299213" header="0.31496062992125984" footer="0.31496062992125984"/>
  <pageSetup paperSize="9" scale="39" pageOrder="overThenDown" orientation="landscape" r:id="rId2"/>
  <rowBreaks count="5" manualBreakCount="5">
    <brk id="133" max="4" man="1"/>
    <brk id="260" max="5" man="1"/>
    <brk id="443" max="5" man="1"/>
    <brk id="543" max="23" man="1"/>
    <brk id="543" min="5" max="2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3" sqref="A3"/>
    </sheetView>
  </sheetViews>
  <sheetFormatPr defaultRowHeight="15" x14ac:dyDescent="0.25"/>
  <sheetData>
    <row r="1" spans="1:1" x14ac:dyDescent="0.25">
      <c r="A1" s="57" t="s">
        <v>276</v>
      </c>
    </row>
    <row r="3" spans="1:1" x14ac:dyDescent="0.25">
      <c r="A3" s="57" t="s">
        <v>277</v>
      </c>
    </row>
    <row r="5" spans="1:1" x14ac:dyDescent="0.25">
      <c r="A5" t="s">
        <v>281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d 4 E P S w r A 2 L m o A A A A + A A A A B I A H A B D b 2 5 m a W c v U G F j a 2 F n Z S 5 4 b W w g o h g A K K A U A A A A A A A A A A A A A A A A A A A A A A A A A A A A h Y 9 B C 4 I w H M W / i u z u N l e Y y N 9 5 6 K o R B N F 1 r K U j n e F m 8 7 t 1 6 C P 1 F R L K 6 h a 8 y 3 v 8 H r z 3 u N 0 h H 9 s m u K r e 6 s 5 k K M I U B c r I 7 q h N l a H B n c I E 5 R y 2 Q p 5 F p Y I J N j Y d r c 5 Q 7 d w l J c R 7 j / 0 C d 3 1 F G K U R O Z T F T t a q F a E 2 1 g k j F f q 0 j v 9 b i M P + N Y Y z v F x N i m P M k g j I H E O p z R d h 0 2 J M g f y E s B 4 a N / S K m y b c F E B m C + T 9 g j 8 B U E s D B B Q A A g A I A H e B D 0 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3 g Q 9 L K I p H u A 4 A A A A R A A A A E w A c A E Z v c m 1 1 b G F z L 1 N l Y 3 R p b 2 4 x L m 0 g o h g A K K A U A A A A A A A A A A A A A A A A A A A A A A A A A A A A K 0 5 N L s n M z 1 M I h t C G 1 g B Q S w E C L Q A U A A I A C A B 3 g Q 9 L C s D Y u a g A A A D 4 A A A A E g A A A A A A A A A A A A A A A A A A A A A A Q 2 9 u Z m l n L 1 B h Y 2 t h Z 2 U u e G 1 s U E s B A i 0 A F A A C A A g A d 4 E P S w / K 6 a u k A A A A 6 Q A A A B M A A A A A A A A A A A A A A A A A 9 A A A A F t D b 2 5 0 Z W 5 0 X 1 R 5 c G V z X S 5 4 b W x Q S w E C L Q A U A A I A C A B 3 g Q 9 L 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3 D 3 E h w 2 A f k m N 4 / T J k W S z f Q A A A A A C A A A A A A A D Z g A A w A A A A B A A A A A v o W n B f k v Y D G v C u M b k 4 c z Z A A A A A A S A A A C g A A A A E A A A A O i 9 W s h v B S T s c U G n 7 V / d y h 5 Q A A A A n h h M P S J B V l i M 8 3 h Y N F b P o a E 9 Q B Z Z 7 i 4 6 2 w 7 U K h 5 X 1 R M 9 5 m F o B e w t R 1 B o m l M z e p f X Z 4 d K f q r h R + D K m F l G R h z U Q D T V w + M I e b U / R 5 + C q N l 5 1 F A U A A A A K N t b R W + g T V G m V c f n a I l 6 a s i 4 1 8 M = < / D a t a M a s h u p > 
</file>

<file path=customXml/itemProps1.xml><?xml version="1.0" encoding="utf-8"?>
<ds:datastoreItem xmlns:ds="http://schemas.openxmlformats.org/officeDocument/2006/customXml" ds:itemID="{3787B6C2-2267-4DE2-A0DE-DB2F08C8A2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Matrix</vt:lpstr>
      <vt:lpstr>TO DO </vt:lpstr>
      <vt:lpstr>Matrix!Afdrukbereik</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Messiaen</dc:creator>
  <cp:keywords/>
  <dc:description/>
  <cp:lastModifiedBy>Robin Messiaen | Sherpa Law</cp:lastModifiedBy>
  <cp:revision/>
  <cp:lastPrinted>2017-06-29T10:29:50Z</cp:lastPrinted>
  <dcterms:created xsi:type="dcterms:W3CDTF">2016-03-24T19:03:42Z</dcterms:created>
  <dcterms:modified xsi:type="dcterms:W3CDTF">2017-08-17T13:20:32Z</dcterms:modified>
  <cp:category/>
  <cp:contentStatus/>
</cp:coreProperties>
</file>